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2900" tabRatio="968" firstSheet="2" activeTab="3"/>
  </bookViews>
  <sheets>
    <sheet name="Z_TARTALOMJEGYZÉK" sheetId="1" state="hidden" r:id="rId1"/>
    <sheet name="Z_ALAPADATOK" sheetId="2" state="hidden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6.2.sz.mell" sheetId="18" r:id="rId18"/>
    <sheet name="Z_6.2.1.sz.mell" sheetId="19" r:id="rId19"/>
    <sheet name="Z_6.2.2.sz.mell" sheetId="20" r:id="rId20"/>
    <sheet name="Z_6.2.3.sz.mell" sheetId="21" r:id="rId21"/>
    <sheet name="Z_6.3.sz.mell" sheetId="22" r:id="rId22"/>
    <sheet name="Z_6.3.1.sz.mell" sheetId="23" r:id="rId23"/>
    <sheet name="Z_6.3.2.sz.mell" sheetId="24" r:id="rId24"/>
    <sheet name="Z_6.3.3.sz.mell" sheetId="25" r:id="rId25"/>
    <sheet name="Z_7.sz.mell" sheetId="26" r:id="rId26"/>
    <sheet name="Z_8.sz.mell" sheetId="27" r:id="rId27"/>
    <sheet name="Z_1.tájékoztató_t." sheetId="28" r:id="rId28"/>
    <sheet name="Z_2.tájékoztató_t." sheetId="29" r:id="rId29"/>
    <sheet name="Z_3.tájékoztató_t." sheetId="30" r:id="rId30"/>
    <sheet name="Z_4.tájékoztató_t." sheetId="31" r:id="rId31"/>
    <sheet name="Z_5.1.tájékoztató_t." sheetId="32" r:id="rId32"/>
    <sheet name="Z_5.2.tájékoztató_t." sheetId="33" r:id="rId33"/>
    <sheet name="Z_5.3.tájékoztató_t." sheetId="34" r:id="rId34"/>
    <sheet name="Z_6.tájékoztató_t." sheetId="35" r:id="rId35"/>
    <sheet name="Z_7.tájékoztató_t." sheetId="36" r:id="rId36"/>
  </sheets>
  <externalReferences>
    <externalReference r:id="rId39"/>
    <externalReference r:id="rId40"/>
  </externalReferences>
  <definedNames>
    <definedName name="_ftn1" localSheetId="33">'Z_5.3.tájékoztató_t.'!$A$32</definedName>
    <definedName name="_ftnref1" localSheetId="33">'Z_5.3.tájékoztató_t.'!$A$23</definedName>
    <definedName name="_xlfn.IFERROR" hidden="1">#NAME?</definedName>
    <definedName name="_xlnm.Print_Titles" localSheetId="31">'Z_5.1.tájékoztató_t.'!$5:$9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7">'Z_1.tájékoztató_t.'!$A$1:$E$148</definedName>
  </definedNames>
  <calcPr fullCalcOnLoad="1"/>
</workbook>
</file>

<file path=xl/sharedStrings.xml><?xml version="1.0" encoding="utf-8"?>
<sst xmlns="http://schemas.openxmlformats.org/spreadsheetml/2006/main" count="4832" uniqueCount="950">
  <si>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</si>
  <si>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</si>
  <si>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</si>
  <si>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</si>
  <si>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</si>
  <si>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</si>
  <si>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</si>
  <si>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</si>
  <si>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</si>
  <si>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</si>
  <si>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</si>
  <si>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</si>
  <si>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</si>
  <si>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</si>
  <si>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</si>
  <si>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</si>
  <si>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</si>
  <si>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</si>
  <si>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</si>
  <si>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</si>
  <si>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</si>
  <si>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</si>
  <si>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</si>
  <si>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</si>
  <si>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</si>
  <si>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</si>
  <si>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</si>
  <si>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</si>
  <si>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</si>
  <si>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</si>
  <si>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</si>
  <si>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</si>
  <si>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</si>
  <si>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</si>
  <si>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</si>
  <si>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</si>
  <si>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</si>
  <si>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</si>
  <si>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</si>
  <si>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</si>
  <si>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</si>
  <si>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</si>
  <si>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</si>
  <si>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</si>
  <si>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</si>
  <si>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</si>
  <si>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</si>
  <si>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</si>
  <si>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</si>
  <si>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</si>
  <si>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</si>
  <si>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</si>
  <si>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</si>
  <si>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</si>
  <si>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</si>
  <si>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</si>
  <si>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</si>
  <si>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</si>
  <si>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</si>
  <si>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</si>
  <si>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</si>
  <si>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</si>
  <si>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</si>
  <si>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</si>
  <si>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</si>
  <si>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</si>
  <si>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</si>
  <si>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</si>
  <si>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</si>
  <si>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</si>
  <si>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</si>
  <si>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</si>
  <si>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</si>
  <si>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</si>
  <si>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</si>
  <si>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</si>
  <si>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</si>
  <si>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</si>
  <si>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</si>
  <si>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</si>
  <si>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</si>
  <si>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</si>
  <si>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</si>
  <si>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</si>
  <si>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</si>
  <si>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</si>
  <si>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</si>
  <si>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</si>
  <si>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</si>
  <si>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</si>
  <si>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</si>
  <si>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</si>
  <si>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</si>
  <si>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</si>
  <si>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</si>
  <si>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</si>
  <si>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</si>
  <si>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</si>
  <si>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</si>
  <si>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</si>
  <si>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</si>
  <si>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</si>
  <si>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</si>
  <si>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</si>
  <si>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</si>
  <si>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</si>
  <si>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</si>
  <si>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</si>
  <si>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</si>
  <si>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</si>
  <si>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</si>
  <si>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</si>
  <si>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</si>
  <si>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</si>
  <si>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</si>
  <si>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</si>
  <si>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</si>
  <si>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</si>
  <si>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</si>
  <si>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</si>
  <si>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</si>
  <si>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</si>
  <si>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</si>
  <si>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</si>
  <si>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</si>
  <si>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</si>
  <si>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</si>
  <si>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</si>
  <si>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</si>
  <si>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</si>
  <si>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</si>
  <si>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</si>
  <si>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</si>
  <si>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</si>
  <si>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</si>
  <si>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</si>
  <si>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</si>
  <si>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</si>
  <si>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</si>
  <si>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</si>
  <si>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</si>
  <si>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</si>
  <si>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</si>
  <si>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</si>
  <si>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</si>
  <si>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</si>
  <si>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</si>
  <si>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</si>
  <si>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</si>
  <si>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</si>
  <si>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</si>
  <si>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</si>
  <si>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</si>
  <si>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</si>
  <si>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</si>
  <si>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</si>
  <si>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</si>
  <si>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</si>
  <si>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</si>
  <si>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</si>
  <si>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</si>
  <si>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</si>
  <si>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</si>
  <si>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</si>
  <si>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</si>
  <si>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</si>
  <si>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</si>
  <si>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</si>
  <si>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</si>
  <si>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</si>
  <si>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</si>
  <si>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</si>
  <si>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</si>
  <si>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</si>
  <si>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</si>
  <si>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</si>
  <si>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</si>
  <si>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</si>
  <si>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</si>
  <si>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</si>
  <si>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</si>
  <si>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</si>
  <si>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</si>
  <si>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</si>
  <si>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</si>
  <si>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</si>
  <si>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</si>
  <si>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</si>
  <si>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</si>
  <si>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</si>
  <si>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</si>
  <si>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</si>
  <si>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</si>
  <si>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</si>
  <si>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</si>
  <si>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</si>
  <si>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</si>
  <si>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</si>
  <si>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</si>
  <si>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</si>
  <si>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</si>
  <si>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</si>
  <si>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</si>
  <si>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</si>
  <si>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</si>
  <si>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</si>
  <si>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</si>
  <si>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</si>
  <si>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</si>
  <si>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</si>
  <si>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</si>
  <si>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</si>
  <si>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</si>
  <si>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</si>
  <si>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</si>
  <si>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</si>
  <si>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</si>
  <si>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</si>
  <si>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</si>
  <si>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</si>
  <si>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</si>
  <si>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</si>
  <si>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</si>
  <si>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</si>
  <si>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</si>
  <si>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</si>
  <si>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</si>
  <si>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</si>
  <si>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</si>
  <si>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</si>
  <si>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</si>
  <si>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</si>
  <si>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</si>
  <si>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</si>
  <si>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</si>
  <si>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</si>
  <si>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</si>
  <si>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</si>
  <si>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</si>
  <si>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</si>
  <si>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</si>
  <si>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</si>
  <si>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</si>
  <si>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</si>
  <si>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</si>
  <si>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</si>
  <si>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</si>
  <si>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</si>
  <si>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</si>
  <si>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</si>
  <si>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</si>
  <si>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</si>
  <si>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</si>
  <si>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</si>
  <si>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</si>
  <si>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</si>
  <si>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</si>
  <si>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</si>
  <si>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</si>
  <si>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</si>
  <si>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</si>
  <si>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</si>
  <si>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</si>
  <si>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</si>
  <si>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</si>
  <si>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</si>
  <si>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</si>
  <si>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</si>
  <si>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</si>
  <si>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</si>
  <si>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</si>
  <si>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</si>
  <si>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</si>
  <si>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</si>
  <si>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</si>
  <si>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</si>
  <si>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</si>
  <si>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</si>
  <si>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</si>
  <si>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</si>
  <si>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</si>
  <si>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</si>
  <si>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</si>
  <si>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</si>
  <si>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</si>
  <si>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</si>
  <si>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</si>
  <si>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</si>
  <si>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</si>
  <si>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</si>
  <si>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</si>
  <si>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</si>
  <si>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</si>
  <si>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</si>
  <si>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</si>
  <si>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</si>
  <si>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</si>
  <si>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</si>
  <si>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</si>
  <si>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</si>
  <si>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</si>
  <si>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</si>
  <si>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</si>
  <si>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</si>
  <si>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</si>
  <si>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</si>
  <si>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</si>
  <si>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</si>
  <si>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</si>
  <si>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</si>
  <si>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</si>
  <si>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</si>
  <si>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</si>
  <si>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</si>
  <si>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</si>
  <si>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</si>
  <si>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</si>
  <si>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</si>
  <si>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</si>
  <si>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</si>
  <si>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</si>
  <si>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</si>
  <si>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</si>
  <si>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</si>
  <si>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</si>
  <si>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</si>
  <si>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</si>
  <si>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</si>
  <si>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</si>
  <si>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</si>
  <si>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</si>
  <si>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</si>
  <si>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</si>
  <si>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</si>
  <si>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</si>
  <si>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</si>
  <si>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</si>
  <si>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</si>
  <si>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</si>
  <si>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</si>
  <si>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</si>
  <si>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</si>
  <si>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</si>
  <si>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</si>
  <si>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</si>
  <si>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</si>
  <si>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</si>
  <si>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</si>
  <si>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</si>
  <si>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</si>
  <si>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</si>
  <si>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</si>
  <si>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</si>
  <si>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</si>
  <si>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</si>
  <si>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</si>
  <si>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</si>
  <si>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</si>
  <si>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</si>
  <si>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</si>
  <si>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</si>
  <si>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</si>
  <si>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</si>
  <si>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</si>
  <si>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</si>
  <si>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</si>
  <si>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</si>
  <si>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</si>
  <si>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</si>
  <si>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</si>
  <si>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</si>
  <si>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</si>
  <si>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</si>
  <si>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</si>
  <si>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</si>
  <si>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</si>
  <si>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</si>
  <si>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</si>
  <si>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</si>
  <si>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</si>
  <si>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</si>
  <si>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</si>
  <si>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</si>
  <si>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</si>
  <si>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</si>
  <si>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</si>
  <si>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</si>
  <si>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</si>
  <si>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</si>
  <si>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</si>
  <si>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</si>
  <si>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</si>
  <si>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</si>
  <si>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</si>
  <si>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</si>
  <si>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</si>
  <si>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</si>
  <si>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</si>
  <si>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</si>
  <si>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</si>
  <si>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</si>
  <si>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</si>
  <si>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</si>
  <si>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</si>
  <si>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</si>
  <si>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</si>
  <si>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</si>
  <si>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</si>
  <si>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</si>
  <si>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</si>
  <si>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</si>
  <si>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</si>
  <si>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</si>
  <si>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</si>
  <si>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</si>
  <si>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</si>
  <si>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</si>
  <si>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</si>
  <si>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</si>
  <si>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</si>
  <si>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</si>
  <si>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</si>
  <si>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</si>
  <si>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</si>
  <si>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</si>
  <si>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</si>
  <si>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</si>
  <si>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</si>
  <si>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</si>
  <si>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</si>
  <si>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</si>
  <si>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</si>
  <si>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</si>
  <si>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</si>
  <si>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</si>
  <si>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</si>
  <si>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</si>
  <si>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</si>
  <si>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</si>
  <si>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</si>
  <si>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</si>
  <si>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</si>
  <si>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</si>
  <si>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</si>
  <si>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</si>
  <si>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</si>
  <si>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</si>
  <si>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</si>
  <si>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</si>
  <si>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</si>
  <si>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</si>
  <si>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</si>
  <si>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</si>
  <si>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</si>
  <si>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</si>
  <si>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</si>
  <si>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</si>
  <si>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</si>
  <si>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</si>
  <si>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</si>
  <si>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</si>
  <si>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</si>
  <si>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</si>
  <si>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</si>
  <si>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</si>
  <si>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</si>
  <si>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</si>
  <si>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</si>
  <si>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</si>
  <si>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</si>
  <si>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</si>
  <si>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</si>
  <si>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</si>
  <si>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</si>
  <si>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</si>
  <si>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</si>
  <si>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</si>
  <si>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</si>
  <si>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</si>
  <si>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</si>
  <si>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</si>
  <si>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</si>
  <si>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</si>
  <si>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</si>
  <si>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</si>
  <si>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</si>
  <si>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</si>
  <si>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</si>
  <si>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</si>
  <si>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</si>
  <si>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</si>
  <si>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</si>
  <si>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</si>
  <si>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</si>
  <si>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</si>
  <si>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</si>
  <si>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</si>
  <si>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</si>
  <si>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</si>
  <si>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</si>
  <si>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</si>
  <si>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</si>
  <si>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</si>
  <si>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</si>
  <si>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</si>
  <si>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</si>
  <si>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</si>
  <si>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</si>
  <si>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</si>
  <si>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</si>
  <si>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</si>
  <si>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</si>
  <si>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</si>
  <si>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</si>
  <si>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</si>
  <si>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</si>
  <si>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</si>
  <si>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</si>
  <si>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</si>
  <si>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</si>
  <si>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</si>
  <si>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</si>
  <si>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</si>
  <si>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</si>
  <si>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</si>
  <si>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</si>
  <si>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</si>
  <si>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</si>
  <si>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</si>
  <si>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</si>
  <si>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</si>
  <si>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</si>
  <si>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</si>
  <si>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</si>
  <si>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</si>
  <si>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</si>
  <si>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</si>
  <si>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</si>
  <si>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</si>
  <si>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</si>
  <si>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</si>
  <si>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</si>
  <si>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</si>
  <si>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</si>
  <si>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</si>
  <si>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</si>
  <si>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</si>
  <si>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</si>
  <si>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</si>
  <si>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</si>
  <si>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</si>
  <si>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</si>
  <si>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</si>
  <si>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</si>
  <si>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</si>
  <si>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</si>
  <si>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</si>
  <si>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</si>
  <si>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</si>
  <si>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</si>
  <si>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</si>
  <si>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</si>
  <si>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</si>
  <si>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</si>
  <si>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</si>
  <si>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</si>
  <si>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</si>
  <si>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</si>
  <si>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</si>
  <si>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</si>
  <si>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</si>
  <si>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</si>
  <si>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</si>
  <si>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</si>
  <si>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</si>
  <si>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</si>
  <si>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</si>
  <si>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</si>
  <si>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</si>
  <si>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</si>
  <si>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</si>
  <si>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</si>
  <si>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</si>
  <si>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</si>
  <si>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</si>
  <si>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</si>
  <si>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</si>
  <si>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</si>
  <si>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</si>
  <si>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</si>
  <si>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</si>
  <si>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</si>
  <si>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</si>
  <si>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</si>
  <si>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</si>
  <si>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</si>
  <si>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</si>
  <si>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</si>
  <si>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</si>
  <si>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</si>
  <si>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</si>
  <si>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</si>
  <si>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</si>
  <si>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</si>
  <si>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</si>
  <si>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</si>
  <si>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</si>
  <si>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</si>
  <si>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</si>
  <si>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</si>
  <si>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</si>
  <si>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</si>
  <si>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</si>
  <si>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</si>
  <si>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</si>
  <si>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</si>
  <si>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</si>
  <si>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</si>
  <si>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</si>
  <si>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</si>
  <si>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</si>
  <si>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</si>
  <si>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</si>
  <si>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</si>
  <si>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</si>
  <si>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</si>
  <si>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</si>
  <si>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</si>
  <si>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</si>
  <si>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</si>
  <si>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</si>
  <si>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</si>
  <si>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</si>
  <si>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</si>
  <si>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</si>
  <si>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</si>
  <si>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</si>
  <si>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</si>
  <si>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</si>
  <si>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</si>
  <si>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</si>
  <si>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</si>
  <si>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</si>
  <si>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</si>
  <si>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</si>
  <si>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</si>
  <si>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</si>
  <si>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</si>
  <si>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</si>
  <si>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</si>
  <si>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</si>
  <si>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</si>
  <si>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</si>
  <si>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</si>
  <si>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</si>
  <si>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</si>
  <si>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</si>
  <si>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</si>
  <si>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</si>
  <si>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</si>
  <si>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</si>
  <si>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</si>
  <si>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</si>
  <si>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</si>
  <si>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</si>
  <si>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</si>
  <si>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</si>
  <si>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</si>
  <si>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</si>
  <si>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</si>
  <si>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</si>
  <si>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</si>
  <si>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</si>
  <si>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</si>
  <si>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</si>
  <si>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</si>
  <si>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</si>
  <si>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</si>
  <si>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</si>
  <si>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Értéke
(Ft)</t>
  </si>
  <si>
    <t>„0”-ra leírt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</si>
  <si>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</si>
  <si>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</si>
  <si>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</si>
  <si>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</si>
  <si>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</si>
  <si>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</si>
  <si>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</si>
  <si>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</si>
  <si>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</si>
  <si>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</si>
  <si>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</si>
  <si>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</si>
  <si>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</si>
  <si>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</si>
  <si>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</si>
  <si>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</si>
  <si>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</si>
  <si>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</si>
  <si>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</si>
  <si>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</si>
  <si>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</si>
  <si>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</si>
  <si>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</si>
  <si>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</si>
  <si>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</si>
  <si>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</si>
  <si>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</si>
  <si>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</si>
  <si>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</si>
  <si>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</si>
  <si>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</si>
  <si>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</si>
  <si>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</si>
  <si>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</si>
  <si>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</si>
  <si>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</si>
  <si>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</si>
  <si>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</si>
  <si>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</si>
  <si>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</si>
  <si>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</si>
  <si>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</si>
  <si>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</si>
  <si>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</si>
  <si>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</si>
  <si>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</si>
  <si>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</si>
  <si>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</si>
  <si>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</si>
  <si>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</si>
  <si>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</si>
  <si>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</si>
  <si>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</si>
  <si>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</si>
  <si>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</si>
  <si>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</si>
  <si>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</si>
  <si>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</si>
  <si>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</si>
  <si>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</si>
  <si>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</si>
  <si>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</si>
  <si>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</si>
  <si>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</si>
  <si>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</si>
  <si>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</si>
  <si>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</si>
  <si>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</si>
  <si>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</si>
  <si>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</si>
  <si>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</si>
  <si>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</si>
  <si>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</si>
  <si>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</si>
  <si>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</si>
  <si>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</si>
  <si>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</si>
  <si>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</si>
  <si>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</si>
  <si>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</si>
  <si>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</si>
  <si>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</si>
  <si>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</si>
  <si>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</si>
  <si>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</si>
  <si>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</si>
  <si>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</si>
  <si>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</si>
  <si>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</si>
  <si>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</si>
  <si>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</si>
  <si>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</si>
  <si>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</si>
  <si>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</si>
  <si>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</si>
  <si>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</si>
  <si>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</si>
  <si>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</si>
  <si>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</si>
  <si>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</si>
  <si>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</si>
  <si>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</si>
  <si>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</si>
  <si>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</si>
  <si>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</si>
  <si>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</si>
  <si>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</si>
  <si>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</si>
  <si>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</si>
  <si>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</si>
  <si>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</si>
  <si>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</si>
  <si>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</si>
  <si>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</si>
  <si>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</si>
  <si>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</si>
  <si>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</si>
  <si>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</si>
  <si>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</si>
  <si>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</si>
  <si>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</si>
  <si>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</si>
  <si>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Balatonvilágos Község Önkormányzata</t>
  </si>
  <si>
    <t>Balatonvilágos Község Önkormányzat Gazdasági Ellátó és Vagyongazdálkodó Szervezete</t>
  </si>
  <si>
    <t>Balatonvilágosi Szivárvány Óvoda</t>
  </si>
  <si>
    <t>2019. ÉVI ZÁRSZÁMADSÁS</t>
  </si>
  <si>
    <t>2019. évi ZÁRSZÁMADÁSÁNAK PÉNZÜGYI MÉRLEGE</t>
  </si>
  <si>
    <t>2019. évi eredeti előirányzat BEVÉTELEK</t>
  </si>
  <si>
    <t>Kötelező feladatok bevétel, kiadás</t>
  </si>
  <si>
    <t>Település rendezési eszközök módosításához szükséges tervdok</t>
  </si>
  <si>
    <t>Gáz nyomásszabályozó állomás áthelyezése</t>
  </si>
  <si>
    <t>Ingatlan beruházás 299hrsz Virágbolt</t>
  </si>
  <si>
    <t>HP 250 G6 1WY58EA Silver NOS 3Y laptop, Windos 10, dell opti</t>
  </si>
  <si>
    <t>Csiszolt tömb padok beszerzése BFT 295/1 hrsz.</t>
  </si>
  <si>
    <t>Mobiltelefon készülékek 7 db</t>
  </si>
  <si>
    <t>2019</t>
  </si>
  <si>
    <t>2018/2020</t>
  </si>
  <si>
    <t>rm.szekrény mosogatóval</t>
  </si>
  <si>
    <t>mosogatógép</t>
  </si>
  <si>
    <t>napvitorla telepítése</t>
  </si>
  <si>
    <t>harmonika ajtós tároló</t>
  </si>
  <si>
    <t>Norbi óvodai fektetők</t>
  </si>
  <si>
    <t>csap. Víz elnyelő Zrínyi utca</t>
  </si>
  <si>
    <t>település üdvözlő tábla</t>
  </si>
  <si>
    <t>távolságmérő,szerszámok</t>
  </si>
  <si>
    <t>pad vásárlás 2 db</t>
  </si>
  <si>
    <t>sarokcsiszoló</t>
  </si>
  <si>
    <t>lombszívó NEGRI</t>
  </si>
  <si>
    <t>Fliegl 800 szárzúzó</t>
  </si>
  <si>
    <t>irodaszék</t>
  </si>
  <si>
    <t>botmixer nagykonyhai</t>
  </si>
  <si>
    <t>éttermi szék 20 db</t>
  </si>
  <si>
    <t>edények fedővel</t>
  </si>
  <si>
    <t>rm. Asztal 2 db</t>
  </si>
  <si>
    <t>Napelemes kandelláberek</t>
  </si>
  <si>
    <t>pavilon vásárlás</t>
  </si>
  <si>
    <t>laptop 5770</t>
  </si>
  <si>
    <t>számítógép 2 db</t>
  </si>
  <si>
    <t>laptop 8 db</t>
  </si>
  <si>
    <t>szekrény készítés</t>
  </si>
  <si>
    <t>bankjegy vizsgáló, telefon</t>
  </si>
  <si>
    <t>monitor</t>
  </si>
  <si>
    <t>salgo állvány</t>
  </si>
  <si>
    <t>szünetmentes táp, led monitor</t>
  </si>
  <si>
    <t>bútorzat</t>
  </si>
  <si>
    <t>irodaszék 10 db</t>
  </si>
  <si>
    <t>telefonkészülék</t>
  </si>
  <si>
    <t>kartoték szekrény</t>
  </si>
  <si>
    <t>álló ventilátor</t>
  </si>
  <si>
    <t>öltözőkabinok</t>
  </si>
  <si>
    <t>Wibit bungee jumping kötél</t>
  </si>
  <si>
    <t>chip leolvasó</t>
  </si>
  <si>
    <t>Csapadékvíz-hálózat elvezetés kiépítése (pályázat)</t>
  </si>
  <si>
    <t xml:space="preserve">295/1 hrsz partvédelem felújítás és homokos föveny építési m. BFT pályázat </t>
  </si>
  <si>
    <t>Gagarin ltp. 6. tetőfedés</t>
  </si>
  <si>
    <t>EPH hálózat kiépítése</t>
  </si>
  <si>
    <t>fizetőstrand járda</t>
  </si>
  <si>
    <t>Mathiász ltp. Járda felújítás</t>
  </si>
  <si>
    <t>Mercedes kont. Teherautó feljavítása</t>
  </si>
  <si>
    <t>bevételei, kiadási, hozzájárulások</t>
  </si>
  <si>
    <t>Járulékok</t>
  </si>
  <si>
    <t>Dologi kiadások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</si>
  <si>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</si>
  <si>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</si>
  <si>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</si>
  <si>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</si>
  <si>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</si>
  <si>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</si>
  <si>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</si>
  <si>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</si>
  <si>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</si>
  <si>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</si>
  <si>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</si>
  <si>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</si>
  <si>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</si>
  <si>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</si>
  <si>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</si>
  <si>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</si>
  <si>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</si>
  <si>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</si>
  <si>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</si>
  <si>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</si>
  <si>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</si>
  <si>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</si>
  <si>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</si>
  <si>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</si>
  <si>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</si>
  <si>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</si>
  <si>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Óvoda bértámogatás 8/12</t>
  </si>
  <si>
    <t>Óvoda bértámogatás 4/12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</si>
  <si>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</si>
  <si>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</si>
  <si>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</si>
  <si>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</si>
  <si>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</si>
  <si>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</si>
  <si>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</si>
  <si>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</si>
  <si>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</si>
  <si>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</si>
  <si>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</si>
  <si>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</si>
  <si>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</si>
  <si>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Szoc. és gyerekjóléti szolg. összesen: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</si>
  <si>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</si>
  <si>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</si>
  <si>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</si>
  <si>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</si>
  <si>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</si>
  <si>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</si>
  <si>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Könyvtári támogatás</t>
  </si>
  <si>
    <t>Állami támogatás összesen:</t>
  </si>
  <si>
    <t>* Magyarország 2019. évi központi költségvetéséról szóló törvény</t>
  </si>
  <si>
    <t>Hitel, kölcsön állomány 2019. dec.31-én</t>
  </si>
  <si>
    <t>A 2019. évi céljelleggel juttatott támogatások felhasználásáról</t>
  </si>
  <si>
    <t>Balatonvilágosi Nyugdíjasok Érdekvédelmi-, Érdekképviseleti Egyesülete</t>
  </si>
  <si>
    <t>Polgárőrség</t>
  </si>
  <si>
    <t>Balatonvilágosi Nők Egyesülete</t>
  </si>
  <si>
    <t>Balatonvilágosi Népdalkör</t>
  </si>
  <si>
    <t xml:space="preserve"> Rudniczai Dojo Kiokusin S.E. Karate Egyesület</t>
  </si>
  <si>
    <t>Rákóczi Szövetség</t>
  </si>
  <si>
    <t>Mozdulj Balaton!</t>
  </si>
  <si>
    <t>Mozdulj Világos Sportegyesület</t>
  </si>
  <si>
    <t>Balatoni futár</t>
  </si>
  <si>
    <t>Vidám Oroszlán Izsó Veronika, Sárkányhajó</t>
  </si>
  <si>
    <t>Magyar Szörf Szövetség</t>
  </si>
  <si>
    <t>Elhasznált formaruhák, cipők cseréje</t>
  </si>
  <si>
    <t>Gyógyíttatásra támogatás</t>
  </si>
  <si>
    <t>Szörf tábor költségeinek részbeni támogatása</t>
  </si>
  <si>
    <t>Immateriális javak</t>
  </si>
  <si>
    <t>Ingatlanok és kapcsolódó vagyoni értékű jogok</t>
  </si>
  <si>
    <t>Gépek, berendezések, felszerelések, járművek</t>
  </si>
  <si>
    <t>Balatonaligai-Vízhasznosítási Szolgáltató Korlátolt Felelősségű Társaság</t>
  </si>
  <si>
    <t>Pénzkészlet 2019. január 1-jén
Ebből:</t>
  </si>
  <si>
    <t>Záró pénzkészlet 2019. december 31-én
Ebből:</t>
  </si>
  <si>
    <t>2019. év</t>
  </si>
  <si>
    <t>kötelezettségek és részesedések alakulása 2019-ben</t>
  </si>
  <si>
    <t>2019. évi általános működés és ágazati feladatok támogatásának alakulása jogcímenként</t>
  </si>
  <si>
    <t>Beruházások áfája összesen:</t>
  </si>
  <si>
    <t>Felújítások áfája összesen:</t>
  </si>
  <si>
    <t>Kamatmentes kölcsön</t>
  </si>
  <si>
    <t>Lakásvásárlási kölcsön</t>
  </si>
  <si>
    <t xml:space="preserve">Tervezett 
</t>
  </si>
  <si>
    <t xml:space="preserve">Tényleges 
</t>
  </si>
  <si>
    <t>Az egyesület működésének részbeni támogatása</t>
  </si>
  <si>
    <t>Autóbuszos kirándulás költségeinek részbeni támogatása</t>
  </si>
  <si>
    <t>Régió havilap előállítása</t>
  </si>
  <si>
    <t>Balatonvilágos jövőjéért Közalapítvány</t>
  </si>
  <si>
    <t>Eszköz beszerzés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</si>
</sst>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#,##0.0000"/>
    <numFmt numFmtId="179" formatCode="###\ ###\ ###\ ###\ ##0.00"/>
    <numFmt numFmtId="180" formatCode="_-* #,##0.00\ _F_t_-;\-* #,##0.00\ _F_t_-;_-* \-??\ _F_t_-;_-@_-"/>
    <numFmt numFmtId="181" formatCode="_-* #,##0\ _F_t_-;\-* #,##0\ _F_t_-;_-* \-??\ _F_t_-;_-@_-"/>
  </numFmts>
  <fonts count="11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8" borderId="7" applyNumberFormat="0" applyFont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3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0" xfId="0" applyNumberFormat="1" applyFont="1" applyFill="1" applyBorder="1" applyAlignment="1" quotePrefix="1">
      <alignment horizontal="left" vertical="center" indent="1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7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8" xfId="0" applyNumberFormat="1" applyFont="1" applyFill="1" applyBorder="1" applyAlignment="1" applyProtection="1">
      <alignment horizontal="right" vertical="center"/>
      <protection locked="0"/>
    </xf>
    <xf numFmtId="3" fontId="28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59" xfId="0" applyNumberFormat="1" applyFont="1" applyFill="1" applyBorder="1" applyAlignment="1">
      <alignment horizontal="right" vertical="center" wrapText="1"/>
    </xf>
    <xf numFmtId="4" fontId="29" fillId="0" borderId="59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1" xfId="0" applyNumberFormat="1" applyFont="1" applyFill="1" applyBorder="1" applyAlignment="1">
      <alignment horizontal="right"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2" xfId="0" applyNumberFormat="1" applyFont="1" applyFill="1" applyBorder="1" applyAlignment="1" applyProtection="1">
      <alignment horizontal="right" vertical="center"/>
      <protection locked="0"/>
    </xf>
    <xf numFmtId="3" fontId="28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5" xfId="0" applyNumberFormat="1" applyFont="1" applyFill="1" applyBorder="1" applyAlignment="1">
      <alignment horizontal="right" vertical="center" wrapText="1"/>
    </xf>
    <xf numFmtId="164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8" xfId="0" applyNumberFormat="1" applyFont="1" applyFill="1" applyBorder="1" applyAlignment="1" applyProtection="1">
      <alignment horizontal="right" vertical="center"/>
      <protection locked="0"/>
    </xf>
    <xf numFmtId="3" fontId="31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68" xfId="0" applyNumberFormat="1" applyFont="1" applyFill="1" applyBorder="1" applyAlignment="1" applyProtection="1">
      <alignment horizontal="right" vertical="center" wrapText="1"/>
      <protection/>
    </xf>
    <xf numFmtId="4" fontId="32" fillId="0" borderId="59" xfId="0" applyNumberFormat="1" applyFont="1" applyFill="1" applyBorder="1" applyAlignment="1">
      <alignment horizontal="right" vertical="center" wrapText="1"/>
    </xf>
    <xf numFmtId="164" fontId="32" fillId="0" borderId="41" xfId="0" applyNumberFormat="1" applyFont="1" applyFill="1" applyBorder="1" applyAlignment="1" applyProtection="1">
      <alignment horizontal="right" vertical="center" wrapText="1"/>
      <protection/>
    </xf>
    <xf numFmtId="4" fontId="32" fillId="0" borderId="41" xfId="0" applyNumberFormat="1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 applyProtection="1">
      <alignment horizontal="right" vertical="center"/>
      <protection locked="0"/>
    </xf>
    <xf numFmtId="3" fontId="31" fillId="0" borderId="62" xfId="0" applyNumberFormat="1" applyFont="1" applyFill="1" applyBorder="1" applyAlignment="1" applyProtection="1">
      <alignment horizontal="right" vertical="center"/>
      <protection locked="0"/>
    </xf>
    <xf numFmtId="3" fontId="31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65" xfId="0" applyNumberFormat="1" applyFont="1" applyFill="1" applyBorder="1" applyAlignment="1">
      <alignment horizontal="right" vertical="center" wrapText="1"/>
    </xf>
    <xf numFmtId="164" fontId="32" fillId="0" borderId="43" xfId="0" applyNumberFormat="1" applyFont="1" applyFill="1" applyBorder="1" applyAlignment="1">
      <alignment vertical="center"/>
    </xf>
    <xf numFmtId="4" fontId="31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9" xfId="6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33" borderId="43" xfId="0" applyNumberFormat="1" applyFont="1" applyFill="1" applyBorder="1" applyAlignment="1">
      <alignment horizontal="left" vertical="center" wrapText="1" indent="2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164" fontId="0" fillId="33" borderId="43" xfId="0" applyNumberFormat="1" applyFont="1" applyFill="1" applyBorder="1" applyAlignment="1">
      <alignment horizontal="right" vertical="center" wrapText="1" indent="2"/>
    </xf>
    <xf numFmtId="164" fontId="0" fillId="33" borderId="33" xfId="0" applyNumberFormat="1" applyFont="1" applyFill="1" applyBorder="1" applyAlignment="1">
      <alignment horizontal="right" vertical="center" wrapText="1" indent="2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3" fontId="13" fillId="0" borderId="72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73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74" fontId="13" fillId="0" borderId="13" xfId="62" applyNumberFormat="1" applyFont="1" applyFill="1" applyBorder="1" applyAlignment="1" applyProtection="1">
      <alignment horizontal="center" vertical="center"/>
      <protection/>
    </xf>
    <xf numFmtId="175" fontId="38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74" fontId="13" fillId="0" borderId="11" xfId="62" applyNumberFormat="1" applyFont="1" applyFill="1" applyBorder="1" applyAlignment="1" applyProtection="1">
      <alignment horizontal="center" vertical="center"/>
      <protection/>
    </xf>
    <xf numFmtId="175" fontId="38" fillId="0" borderId="11" xfId="63" applyNumberFormat="1" applyFont="1" applyFill="1" applyBorder="1" applyAlignment="1" applyProtection="1">
      <alignment horizontal="right" vertical="center" wrapText="1"/>
      <protection/>
    </xf>
    <xf numFmtId="0" fontId="39" fillId="0" borderId="17" xfId="63" applyFont="1" applyFill="1" applyBorder="1" applyAlignment="1" applyProtection="1">
      <alignment horizontal="left" vertical="center" wrapText="1" indent="1"/>
      <protection/>
    </xf>
    <xf numFmtId="175" fontId="40" fillId="0" borderId="11" xfId="63" applyNumberFormat="1" applyFont="1" applyFill="1" applyBorder="1" applyAlignment="1" applyProtection="1">
      <alignment horizontal="right" vertical="center" wrapText="1"/>
      <protection locked="0"/>
    </xf>
    <xf numFmtId="175" fontId="41" fillId="0" borderId="11" xfId="63" applyNumberFormat="1" applyFont="1" applyFill="1" applyBorder="1" applyAlignment="1" applyProtection="1">
      <alignment horizontal="right" vertical="center" wrapText="1"/>
      <protection locked="0"/>
    </xf>
    <xf numFmtId="175" fontId="41" fillId="0" borderId="11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74" fontId="13" fillId="0" borderId="29" xfId="62" applyNumberFormat="1" applyFont="1" applyFill="1" applyBorder="1" applyAlignment="1" applyProtection="1">
      <alignment horizontal="center" vertical="center"/>
      <protection/>
    </xf>
    <xf numFmtId="175" fontId="38" fillId="0" borderId="29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0" fontId="25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74" fontId="13" fillId="0" borderId="12" xfId="62" applyNumberFormat="1" applyFont="1" applyFill="1" applyBorder="1" applyAlignment="1" applyProtection="1">
      <alignment horizontal="center" vertical="center"/>
      <protection/>
    </xf>
    <xf numFmtId="176" fontId="13" fillId="0" borderId="71" xfId="62" applyNumberFormat="1" applyFont="1" applyFill="1" applyBorder="1" applyAlignment="1" applyProtection="1">
      <alignment vertical="center"/>
      <protection locked="0"/>
    </xf>
    <xf numFmtId="176" fontId="13" fillId="0" borderId="27" xfId="62" applyNumberFormat="1" applyFont="1" applyFill="1" applyBorder="1" applyAlignment="1" applyProtection="1">
      <alignment vertical="center"/>
      <protection locked="0"/>
    </xf>
    <xf numFmtId="176" fontId="12" fillId="0" borderId="27" xfId="62" applyNumberFormat="1" applyFont="1" applyFill="1" applyBorder="1" applyAlignment="1" applyProtection="1">
      <alignment vertical="center"/>
      <protection/>
    </xf>
    <xf numFmtId="176" fontId="12" fillId="0" borderId="27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76" fontId="12" fillId="0" borderId="69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74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6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71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27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3" fontId="16" fillId="0" borderId="28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176" fontId="12" fillId="0" borderId="26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42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166" fontId="45" fillId="0" borderId="71" xfId="48" applyNumberFormat="1" applyFont="1" applyBorder="1" applyAlignment="1" applyProtection="1">
      <alignment horizontal="center" vertical="top" wrapText="1"/>
      <protection locked="0"/>
    </xf>
    <xf numFmtId="0" fontId="45" fillId="0" borderId="11" xfId="0" applyFont="1" applyBorder="1" applyAlignment="1" applyProtection="1">
      <alignment horizontal="left" vertical="top" wrapText="1"/>
      <protection locked="0"/>
    </xf>
    <xf numFmtId="9" fontId="45" fillId="0" borderId="11" xfId="71" applyFont="1" applyBorder="1" applyAlignment="1" applyProtection="1">
      <alignment horizontal="center" vertical="center" wrapText="1"/>
      <protection locked="0"/>
    </xf>
    <xf numFmtId="166" fontId="45" fillId="0" borderId="11" xfId="48" applyNumberFormat="1" applyFont="1" applyBorder="1" applyAlignment="1" applyProtection="1">
      <alignment horizontal="center" vertical="center" wrapText="1"/>
      <protection locked="0"/>
    </xf>
    <xf numFmtId="166" fontId="45" fillId="0" borderId="27" xfId="48" applyNumberFormat="1" applyFont="1" applyBorder="1" applyAlignment="1" applyProtection="1">
      <alignment horizontal="center" vertical="top" wrapText="1"/>
      <protection locked="0"/>
    </xf>
    <xf numFmtId="0" fontId="45" fillId="0" borderId="15" xfId="0" applyFont="1" applyBorder="1" applyAlignment="1" applyProtection="1">
      <alignment horizontal="left" vertical="top" wrapText="1"/>
      <protection locked="0"/>
    </xf>
    <xf numFmtId="9" fontId="45" fillId="0" borderId="15" xfId="71" applyFont="1" applyBorder="1" applyAlignment="1" applyProtection="1">
      <alignment horizontal="center" vertical="center" wrapText="1"/>
      <protection locked="0"/>
    </xf>
    <xf numFmtId="166" fontId="45" fillId="0" borderId="15" xfId="48" applyNumberFormat="1" applyFont="1" applyBorder="1" applyAlignment="1" applyProtection="1">
      <alignment horizontal="center" vertical="center" wrapText="1"/>
      <protection locked="0"/>
    </xf>
    <xf numFmtId="166" fontId="45" fillId="0" borderId="28" xfId="48" applyNumberFormat="1" applyFont="1" applyBorder="1" applyAlignment="1" applyProtection="1">
      <alignment horizontal="center" vertical="top" wrapText="1"/>
      <protection locked="0"/>
    </xf>
    <xf numFmtId="0" fontId="43" fillId="34" borderId="23" xfId="0" applyFont="1" applyFill="1" applyBorder="1" applyAlignment="1" applyProtection="1">
      <alignment horizontal="center" vertical="top" wrapText="1"/>
      <protection/>
    </xf>
    <xf numFmtId="166" fontId="45" fillId="0" borderId="23" xfId="48" applyNumberFormat="1" applyFont="1" applyBorder="1" applyAlignment="1" applyProtection="1">
      <alignment horizontal="center" vertical="center" wrapText="1"/>
      <protection/>
    </xf>
    <xf numFmtId="166" fontId="45" fillId="0" borderId="26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7" fillId="0" borderId="29" xfId="0" applyFont="1" applyFill="1" applyBorder="1" applyAlignment="1">
      <alignment horizontal="left" vertical="center" indent="5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5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9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69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8" fillId="0" borderId="18" xfId="0" applyFont="1" applyBorder="1" applyAlignment="1" applyProtection="1">
      <alignment horizontal="center" vertical="top" wrapText="1"/>
      <protection/>
    </xf>
    <xf numFmtId="0" fontId="48" fillId="0" borderId="17" xfId="0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 wrapText="1"/>
      <protection locked="0"/>
    </xf>
    <xf numFmtId="0" fontId="43" fillId="0" borderId="26" xfId="0" applyFont="1" applyBorder="1" applyAlignment="1" applyProtection="1">
      <alignment horizontal="center" vertical="center" wrapText="1"/>
      <protection locked="0"/>
    </xf>
    <xf numFmtId="177" fontId="0" fillId="0" borderId="27" xfId="0" applyNumberFormat="1" applyFont="1" applyFill="1" applyBorder="1" applyAlignment="1" applyProtection="1">
      <alignment horizontal="right" vertical="center"/>
      <protection locked="0"/>
    </xf>
    <xf numFmtId="177" fontId="0" fillId="0" borderId="28" xfId="0" applyNumberFormat="1" applyFont="1" applyFill="1" applyBorder="1" applyAlignment="1" applyProtection="1">
      <alignment horizontal="right" vertical="center"/>
      <protection locked="0"/>
    </xf>
    <xf numFmtId="177" fontId="0" fillId="0" borderId="69" xfId="0" applyNumberFormat="1" applyFont="1" applyFill="1" applyBorder="1" applyAlignment="1" applyProtection="1">
      <alignment horizontal="right" vertical="center"/>
      <protection locked="0"/>
    </xf>
    <xf numFmtId="177" fontId="3" fillId="0" borderId="45" xfId="0" applyNumberFormat="1" applyFont="1" applyFill="1" applyBorder="1" applyAlignment="1" applyProtection="1">
      <alignment horizontal="right" vertical="center"/>
      <protection/>
    </xf>
    <xf numFmtId="0" fontId="104" fillId="0" borderId="0" xfId="0" applyFont="1" applyAlignment="1">
      <alignment/>
    </xf>
    <xf numFmtId="0" fontId="104" fillId="0" borderId="0" xfId="0" applyFont="1" applyAlignment="1">
      <alignment horizontal="justify" vertical="top" wrapText="1"/>
    </xf>
    <xf numFmtId="0" fontId="105" fillId="35" borderId="0" xfId="0" applyFont="1" applyFill="1" applyAlignment="1">
      <alignment horizontal="center" vertical="center"/>
    </xf>
    <xf numFmtId="0" fontId="105" fillId="35" borderId="0" xfId="0" applyFont="1" applyFill="1" applyAlignment="1">
      <alignment horizontal="center" vertical="top" wrapText="1"/>
    </xf>
    <xf numFmtId="0" fontId="49" fillId="0" borderId="0" xfId="0" applyFont="1" applyAlignment="1">
      <alignment/>
    </xf>
    <xf numFmtId="0" fontId="94" fillId="0" borderId="0" xfId="52" applyAlignment="1" applyProtection="1">
      <alignment/>
      <protection/>
    </xf>
    <xf numFmtId="0" fontId="0" fillId="0" borderId="0" xfId="0" applyAlignment="1">
      <alignment horizontal="right"/>
    </xf>
    <xf numFmtId="164" fontId="106" fillId="0" borderId="0" xfId="0" applyNumberFormat="1" applyFont="1" applyFill="1" applyAlignment="1" applyProtection="1">
      <alignment horizontal="right" vertical="center" wrapText="1" indent="1"/>
      <protection/>
    </xf>
    <xf numFmtId="164" fontId="107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51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64" fontId="16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9" xfId="0" applyFill="1" applyBorder="1" applyAlignment="1">
      <alignment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0" fontId="0" fillId="0" borderId="81" xfId="0" applyFill="1" applyBorder="1" applyAlignment="1">
      <alignment/>
    </xf>
    <xf numFmtId="0" fontId="16" fillId="0" borderId="82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63" xfId="0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1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7" fontId="3" fillId="0" borderId="71" xfId="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Fill="1" applyBorder="1" applyAlignment="1" applyProtection="1">
      <alignment horizontal="center"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164" fontId="17" fillId="0" borderId="0" xfId="0" applyNumberFormat="1" applyFont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0" applyAlignment="1" applyProtection="1">
      <alignment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/>
    </xf>
    <xf numFmtId="49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1" xfId="0" applyNumberFormat="1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>
      <alignment/>
    </xf>
    <xf numFmtId="3" fontId="54" fillId="0" borderId="84" xfId="0" applyNumberFormat="1" applyFont="1" applyBorder="1" applyAlignment="1">
      <alignment/>
    </xf>
    <xf numFmtId="0" fontId="54" fillId="0" borderId="84" xfId="0" applyFont="1" applyBorder="1" applyAlignment="1">
      <alignment/>
    </xf>
    <xf numFmtId="3" fontId="108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0" fontId="16" fillId="0" borderId="11" xfId="0" applyFont="1" applyBorder="1" applyAlignment="1" applyProtection="1">
      <alignment wrapText="1"/>
      <protection locked="0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3" fontId="16" fillId="37" borderId="11" xfId="0" applyNumberFormat="1" applyFont="1" applyFill="1" applyBorder="1" applyAlignment="1">
      <alignment/>
    </xf>
    <xf numFmtId="0" fontId="16" fillId="0" borderId="85" xfId="0" applyFont="1" applyBorder="1" applyAlignment="1">
      <alignment/>
    </xf>
    <xf numFmtId="3" fontId="16" fillId="0" borderId="11" xfId="0" applyNumberFormat="1" applyFont="1" applyBorder="1" applyAlignment="1">
      <alignment/>
    </xf>
    <xf numFmtId="179" fontId="16" fillId="0" borderId="11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31" fillId="0" borderId="44" xfId="0" applyNumberFormat="1" applyFont="1" applyFill="1" applyBorder="1" applyAlignment="1" applyProtection="1">
      <alignment horizontal="right" vertical="center"/>
      <protection locked="0"/>
    </xf>
    <xf numFmtId="3" fontId="31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40" xfId="0" applyNumberFormat="1" applyFont="1" applyFill="1" applyBorder="1" applyAlignment="1">
      <alignment horizontal="right" vertical="center" wrapText="1"/>
    </xf>
    <xf numFmtId="3" fontId="25" fillId="0" borderId="0" xfId="63" applyNumberFormat="1" applyFont="1" applyFill="1" applyAlignment="1">
      <alignment horizontal="center"/>
      <protection/>
    </xf>
    <xf numFmtId="0" fontId="13" fillId="0" borderId="86" xfId="0" applyFont="1" applyFill="1" applyBorder="1" applyAlignment="1" applyProtection="1">
      <alignment horizontal="left" vertical="center" wrapText="1"/>
      <protection locked="0"/>
    </xf>
    <xf numFmtId="0" fontId="13" fillId="0" borderId="8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wrapText="1"/>
    </xf>
    <xf numFmtId="3" fontId="56" fillId="0" borderId="84" xfId="61" applyNumberFormat="1" applyFont="1" applyFill="1" applyBorder="1">
      <alignment/>
      <protection/>
    </xf>
    <xf numFmtId="3" fontId="56" fillId="0" borderId="84" xfId="61" applyNumberFormat="1" applyFont="1" applyFill="1" applyBorder="1" applyAlignment="1">
      <alignment horizontal="left" vertical="center" wrapText="1"/>
      <protection/>
    </xf>
    <xf numFmtId="3" fontId="55" fillId="0" borderId="84" xfId="61" applyNumberFormat="1" applyFont="1" applyFill="1" applyBorder="1" applyAlignment="1">
      <alignment horizontal="right"/>
      <protection/>
    </xf>
    <xf numFmtId="3" fontId="55" fillId="0" borderId="84" xfId="61" applyNumberFormat="1" applyFont="1" applyFill="1" applyBorder="1">
      <alignment/>
      <protection/>
    </xf>
    <xf numFmtId="3" fontId="56" fillId="0" borderId="84" xfId="61" applyNumberFormat="1" applyFont="1" applyFill="1" applyBorder="1" applyAlignment="1">
      <alignment horizontal="right"/>
      <protection/>
    </xf>
    <xf numFmtId="3" fontId="55" fillId="0" borderId="84" xfId="61" applyNumberFormat="1" applyFont="1" applyFill="1" applyBorder="1" applyAlignment="1">
      <alignment/>
      <protection/>
    </xf>
    <xf numFmtId="3" fontId="56" fillId="0" borderId="84" xfId="61" applyNumberFormat="1" applyFont="1" applyFill="1" applyBorder="1" applyAlignment="1">
      <alignment wrapText="1"/>
      <protection/>
    </xf>
    <xf numFmtId="3" fontId="55" fillId="0" borderId="84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0" fontId="55" fillId="0" borderId="11" xfId="0" applyFont="1" applyBorder="1" applyAlignment="1">
      <alignment/>
    </xf>
    <xf numFmtId="3" fontId="55" fillId="0" borderId="85" xfId="61" applyNumberFormat="1" applyFont="1" applyFill="1" applyBorder="1">
      <alignment/>
      <protection/>
    </xf>
    <xf numFmtId="3" fontId="56" fillId="0" borderId="85" xfId="61" applyNumberFormat="1" applyFont="1" applyFill="1" applyBorder="1">
      <alignment/>
      <protection/>
    </xf>
    <xf numFmtId="3" fontId="55" fillId="0" borderId="85" xfId="0" applyNumberFormat="1" applyFont="1" applyFill="1" applyBorder="1" applyAlignment="1">
      <alignment/>
    </xf>
    <xf numFmtId="3" fontId="56" fillId="0" borderId="85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3" fontId="0" fillId="0" borderId="0" xfId="0" applyNumberFormat="1" applyFill="1" applyAlignment="1">
      <alignment/>
    </xf>
    <xf numFmtId="165" fontId="0" fillId="0" borderId="87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88" xfId="0" applyNumberFormat="1" applyFont="1" applyFill="1" applyBorder="1" applyAlignment="1" applyProtection="1">
      <alignment vertical="center" wrapText="1"/>
      <protection locked="0"/>
    </xf>
    <xf numFmtId="165" fontId="0" fillId="0" borderId="89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90" xfId="0" applyNumberFormat="1" applyFont="1" applyFill="1" applyBorder="1" applyAlignment="1" applyProtection="1">
      <alignment vertical="center" wrapText="1"/>
      <protection locked="0"/>
    </xf>
    <xf numFmtId="165" fontId="0" fillId="0" borderId="91" xfId="0" applyNumberFormat="1" applyFont="1" applyFill="1" applyBorder="1" applyAlignment="1" applyProtection="1">
      <alignment horizontal="right" vertical="center" wrapText="1" indent="2"/>
      <protection locked="0"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165" fontId="0" fillId="0" borderId="9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4" xfId="0" applyFont="1" applyBorder="1" applyAlignment="1" applyProtection="1">
      <alignment horizontal="left" vertical="center" wrapText="1" indent="1"/>
      <protection locked="0"/>
    </xf>
    <xf numFmtId="0" fontId="13" fillId="0" borderId="84" xfId="0" applyFont="1" applyBorder="1" applyAlignment="1" applyProtection="1">
      <alignment horizontal="left" vertical="center" indent="1"/>
      <protection locked="0"/>
    </xf>
    <xf numFmtId="0" fontId="13" fillId="0" borderId="84" xfId="0" applyFont="1" applyFill="1" applyBorder="1" applyAlignment="1" applyProtection="1">
      <alignment horizontal="left" vertical="center" indent="1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85" xfId="0" applyFont="1" applyFill="1" applyBorder="1" applyAlignment="1" applyProtection="1">
      <alignment horizontal="left" vertical="center" wrapText="1" indent="1"/>
      <protection locked="0"/>
    </xf>
    <xf numFmtId="0" fontId="45" fillId="0" borderId="86" xfId="0" applyFont="1" applyBorder="1" applyAlignment="1" applyProtection="1">
      <alignment horizontal="left" vertical="top" wrapText="1"/>
      <protection locked="0"/>
    </xf>
    <xf numFmtId="9" fontId="45" fillId="0" borderId="86" xfId="71" applyFont="1" applyFill="1" applyBorder="1" applyAlignment="1" applyProtection="1">
      <alignment horizontal="center" vertical="center" wrapText="1"/>
      <protection locked="0"/>
    </xf>
    <xf numFmtId="181" fontId="45" fillId="0" borderId="86" xfId="48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 indent="1"/>
      <protection locked="0"/>
    </xf>
    <xf numFmtId="0" fontId="13" fillId="0" borderId="55" xfId="0" applyFont="1" applyFill="1" applyBorder="1" applyAlignment="1" applyProtection="1">
      <alignment horizontal="left" vertical="center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83" xfId="0" applyNumberFormat="1" applyFont="1" applyFill="1" applyBorder="1" applyAlignment="1" applyProtection="1">
      <alignment horizontal="right" vertical="center"/>
      <protection locked="0"/>
    </xf>
    <xf numFmtId="3" fontId="112" fillId="0" borderId="14" xfId="0" applyNumberFormat="1" applyFont="1" applyBorder="1" applyAlignment="1">
      <alignment/>
    </xf>
    <xf numFmtId="3" fontId="0" fillId="0" borderId="0" xfId="0" applyNumberFormat="1" applyFill="1" applyAlignment="1">
      <alignment vertical="center" wrapText="1"/>
    </xf>
    <xf numFmtId="0" fontId="113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95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14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center" textRotation="180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77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64" fontId="3" fillId="0" borderId="63" xfId="0" applyNumberFormat="1" applyFont="1" applyFill="1" applyBorder="1" applyAlignment="1">
      <alignment horizontal="left" vertical="center" wrapText="1" indent="2"/>
    </xf>
    <xf numFmtId="164" fontId="3" fillId="0" borderId="66" xfId="0" applyNumberFormat="1" applyFont="1" applyFill="1" applyBorder="1" applyAlignment="1">
      <alignment horizontal="left" vertical="center" wrapText="1" indent="2"/>
    </xf>
    <xf numFmtId="164" fontId="0" fillId="0" borderId="96" xfId="0" applyNumberFormat="1" applyFill="1" applyBorder="1" applyAlignment="1" applyProtection="1">
      <alignment horizontal="left" vertical="center" wrapText="1"/>
      <protection locked="0"/>
    </xf>
    <xf numFmtId="164" fontId="0" fillId="0" borderId="97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63" xfId="0" applyNumberFormat="1" applyFont="1" applyFill="1" applyBorder="1" applyAlignment="1">
      <alignment horizontal="center"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98" xfId="0" applyNumberFormat="1" applyFill="1" applyBorder="1" applyAlignment="1" applyProtection="1">
      <alignment horizontal="left" vertical="center" wrapText="1"/>
      <protection locked="0"/>
    </xf>
    <xf numFmtId="164" fontId="6" fillId="0" borderId="43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173" fontId="26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1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4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7" fillId="0" borderId="24" xfId="63" applyFont="1" applyFill="1" applyBorder="1" applyAlignment="1" applyProtection="1">
      <alignment horizontal="center" vertical="center" wrapText="1"/>
      <protection locked="0"/>
    </xf>
    <xf numFmtId="0" fontId="37" fillId="0" borderId="16" xfId="63" applyFont="1" applyFill="1" applyBorder="1" applyAlignment="1" applyProtection="1">
      <alignment horizontal="center" vertical="center" wrapText="1"/>
      <protection locked="0"/>
    </xf>
    <xf numFmtId="0" fontId="37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36" fillId="0" borderId="13" xfId="63" applyFont="1" applyFill="1" applyBorder="1" applyAlignment="1" applyProtection="1">
      <alignment horizontal="center" vertical="center" wrapText="1"/>
      <protection locked="0"/>
    </xf>
    <xf numFmtId="0" fontId="36" fillId="0" borderId="11" xfId="63" applyFont="1" applyFill="1" applyBorder="1" applyAlignment="1" applyProtection="1">
      <alignment horizontal="center" vertical="center" wrapText="1"/>
      <protection locked="0"/>
    </xf>
    <xf numFmtId="0" fontId="36" fillId="0" borderId="11" xfId="63" applyFont="1" applyFill="1" applyBorder="1" applyAlignment="1" applyProtection="1">
      <alignment horizontal="center" wrapText="1"/>
      <protection locked="0"/>
    </xf>
    <xf numFmtId="0" fontId="25" fillId="0" borderId="0" xfId="63" applyFont="1" applyFill="1" applyAlignment="1" applyProtection="1">
      <alignment horizontal="left"/>
      <protection/>
    </xf>
    <xf numFmtId="0" fontId="33" fillId="0" borderId="0" xfId="63" applyFont="1" applyFill="1" applyAlignment="1" applyProtection="1">
      <alignment horizontal="right"/>
      <protection locked="0"/>
    </xf>
    <xf numFmtId="0" fontId="34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4" fillId="0" borderId="0" xfId="63" applyFont="1" applyFill="1" applyAlignment="1" applyProtection="1">
      <alignment horizontal="center" vertical="center" wrapText="1"/>
      <protection locked="0"/>
    </xf>
    <xf numFmtId="0" fontId="34" fillId="0" borderId="0" xfId="63" applyFont="1" applyFill="1" applyAlignment="1" applyProtection="1">
      <alignment horizontal="center" vertical="center"/>
      <protection locked="0"/>
    </xf>
    <xf numFmtId="0" fontId="36" fillId="0" borderId="0" xfId="63" applyFont="1" applyFill="1" applyBorder="1" applyAlignment="1" applyProtection="1">
      <alignment horizontal="right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45" xfId="62" applyFont="1" applyFill="1" applyBorder="1" applyAlignment="1" applyProtection="1">
      <alignment horizontal="center" vertical="center" wrapText="1"/>
      <protection locked="0"/>
    </xf>
    <xf numFmtId="0" fontId="4" fillId="0" borderId="27" xfId="62" applyFont="1" applyFill="1" applyBorder="1" applyAlignment="1" applyProtection="1">
      <alignment horizontal="center" vertical="center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3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43" fillId="0" borderId="22" xfId="0" applyFont="1" applyBorder="1" applyAlignment="1" applyProtection="1">
      <alignment wrapText="1"/>
      <protection/>
    </xf>
    <xf numFmtId="0" fontId="43" fillId="0" borderId="23" xfId="0" applyFont="1" applyBorder="1" applyAlignment="1" applyProtection="1">
      <alignment wrapText="1"/>
      <protection/>
    </xf>
    <xf numFmtId="0" fontId="43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rienn\Downloads\z&#225;rsz&#225;mad&#225;s%202019%20GEV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rienn\Downloads\z&#225;rsz&#225;mad&#225;s%202019%20o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0">
        <row r="4">
          <cell r="E4" t="str">
            <v> Forintban!</v>
          </cell>
        </row>
      </sheetData>
      <sheetData sheetId="21">
        <row r="4">
          <cell r="E4" t="str">
            <v> Forintban!</v>
          </cell>
        </row>
      </sheetData>
      <sheetData sheetId="22">
        <row r="2">
          <cell r="B2" t="str">
            <v>1 kvi név</v>
          </cell>
        </row>
        <row r="4">
          <cell r="E4" t="str">
            <v> 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0">
        <row r="4">
          <cell r="E4" t="str">
            <v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3">
      <selection activeCell="B35" sqref="B35"/>
    </sheetView>
  </sheetViews>
  <sheetFormatPr defaultColWidth="9.00390625" defaultRowHeight="12.75"/>
  <cols>
    <col min="1" max="1" width="34.75390625" style="0" customWidth="1"/>
    <col min="2" max="2" width="91.125" style="0" customWidth="1"/>
    <col min="3" max="3" width="35.375" style="0" customWidth="1"/>
  </cols>
  <sheetData>
    <row r="2" spans="1:3" ht="17.25">
      <c r="A2" s="737" t="s">
        <v>731</v>
      </c>
      <c r="B2" s="737"/>
      <c r="C2" s="737"/>
    </row>
    <row r="3" spans="1:3" ht="13.5">
      <c r="A3" s="595"/>
      <c r="B3" s="596"/>
      <c r="C3" s="595"/>
    </row>
    <row r="4" spans="1:3" ht="13.5">
      <c r="A4" s="597" t="s">
        <v>732</v>
      </c>
      <c r="B4" s="598" t="s">
        <v>733</v>
      </c>
      <c r="C4" s="597" t="s">
        <v>734</v>
      </c>
    </row>
    <row r="5" spans="1:3" ht="12.75">
      <c r="A5" s="599"/>
      <c r="B5" s="599"/>
      <c r="C5" s="599"/>
    </row>
    <row r="6" spans="1:3" ht="17.25">
      <c r="A6" s="738" t="s">
        <v>766</v>
      </c>
      <c r="B6" s="738"/>
      <c r="C6" s="738"/>
    </row>
    <row r="7" spans="1:3" ht="12.75">
      <c r="A7" s="599" t="s">
        <v>735</v>
      </c>
      <c r="B7" s="599" t="s">
        <v>736</v>
      </c>
      <c r="C7" s="600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599" t="s">
        <v>737</v>
      </c>
      <c r="B8" s="599" t="s">
        <v>775</v>
      </c>
      <c r="C8" s="600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599" t="s">
        <v>738</v>
      </c>
      <c r="B9" s="599" t="str">
        <f>CONCATENATE(LOWER('Z_1.1.sz.mell.'!A3))</f>
        <v>2019. évi zárszámadásának pénzügyi mérlege</v>
      </c>
      <c r="C9" s="600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599" t="s">
        <v>739</v>
      </c>
      <c r="B10" s="599" t="str">
        <f>'Z_1.2.sz.mell.'!A3</f>
        <v>2019. ÉVI ZÁRSZÁMADSÁS</v>
      </c>
      <c r="C10" s="600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599" t="s">
        <v>740</v>
      </c>
      <c r="B11" s="599" t="str">
        <f>'Z_1.3.sz.mell.'!A3</f>
        <v>2019. ÉVI ZÁRSZÁMADSÁS</v>
      </c>
      <c r="C11" s="600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599" t="s">
        <v>741</v>
      </c>
      <c r="B12" s="599" t="str">
        <f>'Z_1.4.sz.mell.'!A3</f>
        <v>2019. ÉVI ZÁRSZÁMADSÁS</v>
      </c>
      <c r="C12" s="600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599" t="s">
        <v>517</v>
      </c>
      <c r="B13" s="599" t="s">
        <v>742</v>
      </c>
      <c r="C13" s="600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599" t="s">
        <v>420</v>
      </c>
      <c r="B14" s="599" t="s">
        <v>743</v>
      </c>
      <c r="C14" s="600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599" t="s">
        <v>744</v>
      </c>
      <c r="B15" s="599" t="s">
        <v>745</v>
      </c>
      <c r="C15" s="600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599" t="s">
        <v>746</v>
      </c>
      <c r="B16" s="599" t="s">
        <v>747</v>
      </c>
      <c r="C16" s="600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599" t="s">
        <v>748</v>
      </c>
      <c r="B17" s="599" t="s">
        <v>749</v>
      </c>
      <c r="C17" s="600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599" t="s">
        <v>750</v>
      </c>
      <c r="B18" s="599" t="str">
        <f>'Z_5.sz.mell.'!A2</f>
        <v>Európai uniós támogatással megvalósuló projektek</v>
      </c>
      <c r="C18" s="600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599" t="s">
        <v>524</v>
      </c>
      <c r="B19" s="599" t="s">
        <v>751</v>
      </c>
      <c r="C19" s="600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599" t="s">
        <v>455</v>
      </c>
      <c r="B20" s="599" t="s">
        <v>752</v>
      </c>
      <c r="C20" s="600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599" t="s">
        <v>456</v>
      </c>
      <c r="B21" s="599" t="s">
        <v>319</v>
      </c>
      <c r="C21" s="600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599" t="s">
        <v>753</v>
      </c>
      <c r="B22" s="599" t="s">
        <v>754</v>
      </c>
      <c r="C22" s="600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599" t="s">
        <v>755</v>
      </c>
      <c r="B23" s="599" t="str">
        <f>Z_ALAPADATOK!A11</f>
        <v>Balatonvilágos Község Önkormányzat Gazdasági Ellátó és Vagyongazdálkodó Szervezete</v>
      </c>
      <c r="C23" s="600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599" t="s">
        <v>756</v>
      </c>
      <c r="B24" t="str">
        <f>Z_ALAPADATOK!B13</f>
        <v>Balatonvilágosi Szivárvány Óvoda</v>
      </c>
      <c r="C24" s="600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599" t="s">
        <v>757</v>
      </c>
      <c r="B25" t="str">
        <f>Z_ALAPADATOK!B15</f>
        <v>2 kvi név</v>
      </c>
      <c r="C25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99" t="s">
        <v>758</v>
      </c>
      <c r="B26" t="str">
        <f>Z_ALAPADATOK!B17</f>
        <v>3 kvi név</v>
      </c>
      <c r="C26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99" t="s">
        <v>759</v>
      </c>
      <c r="B27" t="str">
        <f>Z_ALAPADATOK!B19</f>
        <v>4 kvi név</v>
      </c>
      <c r="C27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99" t="s">
        <v>760</v>
      </c>
      <c r="B28" t="str">
        <f>Z_ALAPADATOK!B21</f>
        <v>5 kvi név</v>
      </c>
      <c r="C28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99" t="s">
        <v>761</v>
      </c>
      <c r="B29" t="str">
        <f>Z_ALAPADATOK!B23</f>
        <v>6 kvi név</v>
      </c>
      <c r="C29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99" t="s">
        <v>762</v>
      </c>
      <c r="B30" t="str">
        <f>Z_ALAPADATOK!B25</f>
        <v>7 kvi név</v>
      </c>
      <c r="C30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99" t="s">
        <v>763</v>
      </c>
      <c r="B31" t="str">
        <f>Z_ALAPADATOK!B27</f>
        <v>8 kvi név</v>
      </c>
      <c r="C31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99" t="s">
        <v>764</v>
      </c>
      <c r="B32" t="str">
        <f>Z_ALAPADATOK!B29</f>
        <v>9 kvi név</v>
      </c>
      <c r="C32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99" t="s">
        <v>765</v>
      </c>
      <c r="B33" t="str">
        <f>Z_ALAPADATOK!B31</f>
        <v>10 kvi név</v>
      </c>
      <c r="C33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99" t="s">
        <v>791</v>
      </c>
      <c r="B34" t="str">
        <f>PROPER('Z_7.sz.mell'!A3)</f>
        <v>Költségvetési Szervek Maradványának Alakulása</v>
      </c>
      <c r="C34" s="600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599" t="s">
        <v>792</v>
      </c>
      <c r="B35" t="str">
        <f>'Z_8.sz.mell'!B1</f>
        <v>2019. évi általános működés és ágazati feladatok támogatásának alakulása jogcímenként</v>
      </c>
      <c r="C35" s="600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599" t="s">
        <v>710</v>
      </c>
      <c r="B36" t="str">
        <f>CONCATENATE(PROPER('Z_1.tájékoztató_t.'!A2)," ",LOWER('Z_1.tájékoztató_t.'!A3))</f>
        <v>Balatonvilágos Község Önkormányzata 2019. évi zárszámadásának pénzügyi mérlege</v>
      </c>
      <c r="C36" s="600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599" t="s">
        <v>711</v>
      </c>
      <c r="B37" t="e">
        <f>#REF!</f>
        <v>#REF!</v>
      </c>
      <c r="C37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599" t="s">
        <v>715</v>
      </c>
      <c r="B38" t="str">
        <f>'Z_2.tájékoztató_t.'!A1</f>
        <v>Az önkormányzat által nyújtott hitel és kölcsön alakulása lejárat és eszközök szerinti bontásban</v>
      </c>
      <c r="C38" s="600" t="str">
        <f ca="1">HYPERLINK(SUBSTITUTE(CELL("address",'Z_2.tájékoztató_t.'!A1),"'",""),SUBSTITUTE(MID(CELL("address",'Z_2.tájékoztató_t.'!A1),SEARCH("]",CELL("address",'Z_2.tájékoztató_t.'!A1),1)+1,LEN(CELL("address",'Z_2.tájékoztató_t.'!A1))-SEARCH("]",CELL("address",'Z_2.tájékoztató_t.'!A1),1)),"'",""))</f>
        <v>Z_2.tájékoztató_t.!$A$1</v>
      </c>
    </row>
    <row r="39" spans="1:3" ht="12.75">
      <c r="A39" s="599" t="s">
        <v>716</v>
      </c>
      <c r="B39" t="e">
        <f>#REF!</f>
        <v>#REF!</v>
      </c>
      <c r="C39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599" t="s">
        <v>717</v>
      </c>
      <c r="B40" t="str">
        <f>'Z_3.tájékoztató_t.'!A3</f>
        <v>Az önkormányzat által adott közvetett támogatások</v>
      </c>
      <c r="C40" s="600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41" spans="1:3" ht="12.75">
      <c r="A41" s="599" t="s">
        <v>721</v>
      </c>
      <c r="B41" t="str">
        <f>CONCATENATE(PROPER('Z_4.tájékoztató_t.'!A3)," ",LOWER('Z_4.tájékoztató_t.'!A4))</f>
        <v>K I M U T A T Á S a 2019. évi céljelleggel juttatott támogatások felhasználásáról</v>
      </c>
      <c r="C41" s="600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2" spans="1:3" ht="12.75">
      <c r="A42" s="599" t="s">
        <v>723</v>
      </c>
      <c r="B42" t="str">
        <f>CONCATENATE(PROPER('Z_5.1.tájékoztató_t.'!A2)," ",'Z_5.1.tájékoztató_t.'!A3)</f>
        <v>Vagyonkimutatás a könyvviteli mérlegben értékkel szerplő eszközökről</v>
      </c>
      <c r="C42" s="600" t="str">
        <f ca="1">HYPERLINK(SUBSTITUTE(CELL("address",'Z_5.1.tájékoztató_t.'!A1),"'",""),SUBSTITUTE(MID(CELL("address",'Z_5.1.tájékoztató_t.'!A1),SEARCH("]",CELL("address",'Z_5.1.tájékoztató_t.'!A1),1)+1,LEN(CELL("address",'Z_5.1.tájékoztató_t.'!A1))-SEARCH("]",CELL("address",'Z_5.1.tájékoztató_t.'!A1),1)),"'",""))</f>
        <v>Z_5.1.tájékoztató_t.!$A$1</v>
      </c>
    </row>
    <row r="43" spans="1:3" ht="12.75">
      <c r="A43" s="599" t="s">
        <v>726</v>
      </c>
      <c r="B43" t="str">
        <f>CONCATENATE(PROPER('Z_5.2.tájékoztató_t.'!A3)," ",'Z_5.2.tájékoztató_t.'!A4)</f>
        <v>Vagyonkimutatás a könyvviteli mérlegben értékkel szereplő forrásokról</v>
      </c>
      <c r="C43" s="600" t="str">
        <f ca="1">HYPERLINK(SUBSTITUTE(CELL("address",'Z_5.2.tájékoztató_t.'!A1),"'",""),SUBSTITUTE(MID(CELL("address",'Z_5.2.tájékoztató_t.'!A1),SEARCH("]",CELL("address",'Z_5.2.tájékoztató_t.'!A1),1)+1,LEN(CELL("address",'Z_5.2.tájékoztató_t.'!A1))-SEARCH("]",CELL("address",'Z_5.2.tájékoztató_t.'!A1),1)),"'",""))</f>
        <v>Z_5.2.tájékoztató_t.!$A$1</v>
      </c>
    </row>
    <row r="44" spans="1:3" ht="12.75">
      <c r="A44" s="599" t="s">
        <v>727</v>
      </c>
      <c r="B44" t="str">
        <f>CONCATENATE(PROPER('Z_5.3.tájékoztató_t.'!A3)," ",'Z_5.3.tájékoztató_t.'!A4)</f>
        <v>Vagyonkimutatás az érték nélkül nyilvántartott eszkzözkről</v>
      </c>
      <c r="C44" s="600" t="str">
        <f ca="1">HYPERLINK(SUBSTITUTE(CELL("address",'Z_5.3.tájékoztató_t.'!A1),"'",""),SUBSTITUTE(MID(CELL("address",'Z_5.3.tájékoztató_t.'!A1),SEARCH("]",CELL("address",'Z_5.3.tájékoztató_t.'!A1),1)+1,LEN(CELL("address",'Z_5.3.tájékoztató_t.'!A1))-SEARCH("]",CELL("address",'Z_5.3.tájékoztató_t.'!A1),1)),"'",""))</f>
        <v>Z_5.3.tájékoztató_t.!$A$1</v>
      </c>
    </row>
    <row r="45" spans="1:3" ht="12.75">
      <c r="A45" s="599" t="s">
        <v>729</v>
      </c>
      <c r="B45" t="str">
        <f>CONCATENATE('Z_6.tájékoztató_t.'!A2,'Z_6.tájékoztató_t.'!A3)</f>
        <v>Balatonvilágos Község Önkormányzata tulajdonában álló gazdálkodó szervezetek működéséből származókötelezettségek és részesedések alakulása 2019-ben</v>
      </c>
      <c r="C45" s="600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6" spans="1:3" ht="12.75">
      <c r="A46" s="599" t="s">
        <v>730</v>
      </c>
      <c r="B46" t="s">
        <v>767</v>
      </c>
      <c r="C46" s="600" t="str">
        <f ca="1">HYPERLINK(SUBSTITUTE(CELL("address",'Z_7.tájékoztató_t.'!A1),"'",""),SUBSTITUTE(MID(CELL("address",'Z_7.tájékoztató_t.'!A1),SEARCH("]",CELL("address",'Z_7.tájékoztató_t.'!A1),1)+1,LEN(CELL("address",'Z_7.tájékoztató_t.'!A1))-SEARCH("]",CELL("address",'Z_7.tájékoztató_t.'!A1),1)),"'",""))</f>
        <v>Z_7.tájékoztató_t.!$A$1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6">
      <selection activeCell="J25" sqref="J25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64" t="s">
        <v>520</v>
      </c>
      <c r="B1" s="76"/>
      <c r="C1" s="76"/>
      <c r="D1" s="76"/>
      <c r="E1" s="265" t="s">
        <v>102</v>
      </c>
    </row>
    <row r="2" spans="1:5" ht="12.75">
      <c r="A2" s="76"/>
      <c r="B2" s="76"/>
      <c r="C2" s="76"/>
      <c r="D2" s="76"/>
      <c r="E2" s="76"/>
    </row>
    <row r="3" spans="1:5" ht="12.75">
      <c r="A3" s="266"/>
      <c r="B3" s="267"/>
      <c r="C3" s="266"/>
      <c r="D3" s="268"/>
      <c r="E3" s="267"/>
    </row>
    <row r="4" spans="1:5" ht="15">
      <c r="A4" s="78" t="str">
        <f>+Z_ÖSSZEFÜGGÉSEK!A6</f>
        <v>2019. évi eredeti előirányzat BEVÉTELEK</v>
      </c>
      <c r="B4" s="269"/>
      <c r="C4" s="270"/>
      <c r="D4" s="268"/>
      <c r="E4" s="267"/>
    </row>
    <row r="5" spans="1:5" ht="12.75">
      <c r="A5" s="266"/>
      <c r="B5" s="267"/>
      <c r="C5" s="266"/>
      <c r="D5" s="268"/>
      <c r="E5" s="267"/>
    </row>
    <row r="6" spans="1:5" ht="12.75">
      <c r="A6" s="266" t="s">
        <v>460</v>
      </c>
      <c r="B6" s="267">
        <f>+'Z_1.1.sz.mell.'!C68</f>
        <v>542222486</v>
      </c>
      <c r="C6" s="266" t="s">
        <v>421</v>
      </c>
      <c r="D6" s="268">
        <f>+'Z_2.1.sz.mell'!C18+'Z_2.2.sz.mell'!C17</f>
        <v>542222486</v>
      </c>
      <c r="E6" s="267">
        <f>+B6-D6</f>
        <v>0</v>
      </c>
    </row>
    <row r="7" spans="1:5" ht="12.75">
      <c r="A7" s="266" t="s">
        <v>476</v>
      </c>
      <c r="B7" s="267">
        <f>+'Z_1.1.sz.mell.'!C92</f>
        <v>126176907</v>
      </c>
      <c r="C7" s="266" t="s">
        <v>427</v>
      </c>
      <c r="D7" s="268">
        <f>+'Z_2.1.sz.mell'!C29+'Z_2.2.sz.mell'!C30</f>
        <v>126176907</v>
      </c>
      <c r="E7" s="267">
        <f>+B7-D7</f>
        <v>0</v>
      </c>
    </row>
    <row r="8" spans="1:5" ht="12.75">
      <c r="A8" s="266" t="s">
        <v>477</v>
      </c>
      <c r="B8" s="267">
        <f>+'Z_1.1.sz.mell.'!C93</f>
        <v>668399393</v>
      </c>
      <c r="C8" s="266" t="s">
        <v>428</v>
      </c>
      <c r="D8" s="268">
        <f>+'Z_2.1.sz.mell'!C30+'Z_2.2.sz.mell'!C31</f>
        <v>668399393</v>
      </c>
      <c r="E8" s="267">
        <f>+B8-D8</f>
        <v>0</v>
      </c>
    </row>
    <row r="9" spans="1:5" ht="12.75">
      <c r="A9" s="266"/>
      <c r="B9" s="267"/>
      <c r="C9" s="266"/>
      <c r="D9" s="268"/>
      <c r="E9" s="267"/>
    </row>
    <row r="10" spans="1:5" ht="15">
      <c r="A10" s="78" t="str">
        <f>+Z_ÖSSZEFÜGGÉSEK!A13</f>
        <v>2019. évi módosított előirányzat BEVÉTELEK</v>
      </c>
      <c r="B10" s="269"/>
      <c r="C10" s="270"/>
      <c r="D10" s="268"/>
      <c r="E10" s="267"/>
    </row>
    <row r="11" spans="1:5" ht="12.75">
      <c r="A11" s="266"/>
      <c r="B11" s="267"/>
      <c r="C11" s="266"/>
      <c r="D11" s="268"/>
      <c r="E11" s="267"/>
    </row>
    <row r="12" spans="1:5" ht="12.75">
      <c r="A12" s="266" t="s">
        <v>461</v>
      </c>
      <c r="B12" s="267">
        <f>+'Z_1.1.sz.mell.'!D68</f>
        <v>551377023</v>
      </c>
      <c r="C12" s="266" t="s">
        <v>422</v>
      </c>
      <c r="D12" s="268">
        <f>+'Z_2.1.sz.mell'!D18+'Z_2.2.sz.mell'!D17</f>
        <v>551377023</v>
      </c>
      <c r="E12" s="267">
        <f>+B12-D12</f>
        <v>0</v>
      </c>
    </row>
    <row r="13" spans="1:5" ht="12.75">
      <c r="A13" s="266" t="s">
        <v>462</v>
      </c>
      <c r="B13" s="267">
        <f>+'Z_1.1.sz.mell.'!D92</f>
        <v>175082182</v>
      </c>
      <c r="C13" s="266" t="s">
        <v>429</v>
      </c>
      <c r="D13" s="268">
        <f>+'Z_2.1.sz.mell'!D29+'Z_2.2.sz.mell'!D30</f>
        <v>175082182</v>
      </c>
      <c r="E13" s="267">
        <f>+B13-D13</f>
        <v>0</v>
      </c>
    </row>
    <row r="14" spans="1:5" ht="12.75">
      <c r="A14" s="266" t="s">
        <v>463</v>
      </c>
      <c r="B14" s="267">
        <f>+'Z_1.1.sz.mell.'!D93</f>
        <v>726459205</v>
      </c>
      <c r="C14" s="266" t="s">
        <v>430</v>
      </c>
      <c r="D14" s="268">
        <f>+'Z_2.1.sz.mell'!D30+'Z_2.2.sz.mell'!D31</f>
        <v>726459205</v>
      </c>
      <c r="E14" s="267">
        <f>+B14-D14</f>
        <v>0</v>
      </c>
    </row>
    <row r="15" spans="1:5" ht="12.75">
      <c r="A15" s="266"/>
      <c r="B15" s="267"/>
      <c r="C15" s="266"/>
      <c r="D15" s="268"/>
      <c r="E15" s="267"/>
    </row>
    <row r="16" spans="1:5" ht="13.5">
      <c r="A16" s="271" t="str">
        <f>+Z_ÖSSZEFÜGGÉSEK!A19</f>
        <v>2019.évi teljesített BEVÉTELEK</v>
      </c>
      <c r="B16" s="77"/>
      <c r="C16" s="270"/>
      <c r="D16" s="268"/>
      <c r="E16" s="267"/>
    </row>
    <row r="17" spans="1:5" ht="12.75">
      <c r="A17" s="266"/>
      <c r="B17" s="267"/>
      <c r="C17" s="266"/>
      <c r="D17" s="268"/>
      <c r="E17" s="267"/>
    </row>
    <row r="18" spans="1:5" ht="12.75">
      <c r="A18" s="266" t="s">
        <v>464</v>
      </c>
      <c r="B18" s="267">
        <f>+'Z_1.1.sz.mell.'!E68</f>
        <v>545578701</v>
      </c>
      <c r="C18" s="266" t="s">
        <v>423</v>
      </c>
      <c r="D18" s="268">
        <f>+'Z_2.1.sz.mell'!E18+'Z_2.2.sz.mell'!E17</f>
        <v>545578701</v>
      </c>
      <c r="E18" s="267">
        <f>+B18-D18</f>
        <v>0</v>
      </c>
    </row>
    <row r="19" spans="1:5" ht="12.75">
      <c r="A19" s="266" t="s">
        <v>465</v>
      </c>
      <c r="B19" s="267">
        <f>+'Z_1.1.sz.mell.'!E92</f>
        <v>175082182</v>
      </c>
      <c r="C19" s="266" t="s">
        <v>431</v>
      </c>
      <c r="D19" s="268">
        <f>+'Z_2.1.sz.mell'!E29+'Z_2.2.sz.mell'!E30</f>
        <v>175082182</v>
      </c>
      <c r="E19" s="267">
        <f>+B19-D19</f>
        <v>0</v>
      </c>
    </row>
    <row r="20" spans="1:5" ht="12.75">
      <c r="A20" s="266" t="s">
        <v>466</v>
      </c>
      <c r="B20" s="267">
        <f>+'Z_1.1.sz.mell.'!E93</f>
        <v>720660883</v>
      </c>
      <c r="C20" s="266" t="s">
        <v>432</v>
      </c>
      <c r="D20" s="268">
        <f>+'Z_2.1.sz.mell'!E30+'Z_2.2.sz.mell'!E31</f>
        <v>720660883</v>
      </c>
      <c r="E20" s="267">
        <f>+B20-D20</f>
        <v>0</v>
      </c>
    </row>
    <row r="21" spans="1:5" ht="12.75">
      <c r="A21" s="266"/>
      <c r="B21" s="267"/>
      <c r="C21" s="266"/>
      <c r="D21" s="268"/>
      <c r="E21" s="267"/>
    </row>
    <row r="22" spans="1:5" ht="15">
      <c r="A22" s="78" t="str">
        <f>+Z_ÖSSZEFÜGGÉSEK!A25</f>
        <v>2019. évi eredeti előirányzat KIADÁSOK</v>
      </c>
      <c r="B22" s="269"/>
      <c r="C22" s="270"/>
      <c r="D22" s="268"/>
      <c r="E22" s="267"/>
    </row>
    <row r="23" spans="1:5" ht="12.75">
      <c r="A23" s="266"/>
      <c r="B23" s="267"/>
      <c r="C23" s="266"/>
      <c r="D23" s="268"/>
      <c r="E23" s="267"/>
    </row>
    <row r="24" spans="1:5" ht="12.75">
      <c r="A24" s="266" t="s">
        <v>478</v>
      </c>
      <c r="B24" s="267">
        <f>+'Z_1.1.sz.mell.'!C135</f>
        <v>664286766</v>
      </c>
      <c r="C24" s="266" t="s">
        <v>424</v>
      </c>
      <c r="D24" s="268">
        <f>+'Z_2.1.sz.mell'!G18+'Z_2.2.sz.mell'!G17</f>
        <v>664286766</v>
      </c>
      <c r="E24" s="267">
        <f>+B24-D24</f>
        <v>0</v>
      </c>
    </row>
    <row r="25" spans="1:5" ht="12.75">
      <c r="A25" s="266" t="s">
        <v>468</v>
      </c>
      <c r="B25" s="267">
        <f>+'Z_1.1.sz.mell.'!C160</f>
        <v>4112627</v>
      </c>
      <c r="C25" s="266" t="s">
        <v>433</v>
      </c>
      <c r="D25" s="268">
        <f>+'Z_2.1.sz.mell'!G29+'Z_2.2.sz.mell'!G30</f>
        <v>4112627</v>
      </c>
      <c r="E25" s="267">
        <f>+B25-D25</f>
        <v>0</v>
      </c>
    </row>
    <row r="26" spans="1:5" ht="12.75">
      <c r="A26" s="266" t="s">
        <v>469</v>
      </c>
      <c r="B26" s="267">
        <f>+'Z_1.1.sz.mell.'!C161</f>
        <v>668399393</v>
      </c>
      <c r="C26" s="266" t="s">
        <v>434</v>
      </c>
      <c r="D26" s="268">
        <f>+'Z_2.1.sz.mell'!G30+'Z_2.2.sz.mell'!G31</f>
        <v>668399393</v>
      </c>
      <c r="E26" s="267">
        <f>+B26-D26</f>
        <v>0</v>
      </c>
    </row>
    <row r="27" spans="1:5" ht="12.75">
      <c r="A27" s="266"/>
      <c r="B27" s="267"/>
      <c r="C27" s="266"/>
      <c r="D27" s="268"/>
      <c r="E27" s="267"/>
    </row>
    <row r="28" spans="1:5" ht="15">
      <c r="A28" s="78" t="str">
        <f>+Z_ÖSSZEFÜGGÉSEK!A31</f>
        <v>2019. évi módosított előirányzat KIADÁSOK</v>
      </c>
      <c r="B28" s="269"/>
      <c r="C28" s="270"/>
      <c r="D28" s="268"/>
      <c r="E28" s="267"/>
    </row>
    <row r="29" spans="1:5" ht="12.75">
      <c r="A29" s="266"/>
      <c r="B29" s="267"/>
      <c r="C29" s="266"/>
      <c r="D29" s="268"/>
      <c r="E29" s="267"/>
    </row>
    <row r="30" spans="1:5" ht="12.75">
      <c r="A30" s="266" t="s">
        <v>470</v>
      </c>
      <c r="B30" s="267">
        <f>+'Z_1.1.sz.mell.'!D135</f>
        <v>713228807</v>
      </c>
      <c r="C30" s="266" t="s">
        <v>425</v>
      </c>
      <c r="D30" s="268">
        <f>+'Z_2.1.sz.mell'!H18+'Z_2.2.sz.mell'!H17</f>
        <v>713228807</v>
      </c>
      <c r="E30" s="267">
        <f>+B30-D30</f>
        <v>0</v>
      </c>
    </row>
    <row r="31" spans="1:5" ht="12.75">
      <c r="A31" s="266" t="s">
        <v>471</v>
      </c>
      <c r="B31" s="267">
        <f>+'Z_1.1.sz.mell.'!D160</f>
        <v>13230398</v>
      </c>
      <c r="C31" s="266" t="s">
        <v>435</v>
      </c>
      <c r="D31" s="268">
        <f>+'Z_2.1.sz.mell'!H29+'Z_2.2.sz.mell'!H30</f>
        <v>13230398</v>
      </c>
      <c r="E31" s="267">
        <f>+B31-D31</f>
        <v>0</v>
      </c>
    </row>
    <row r="32" spans="1:5" ht="12.75">
      <c r="A32" s="266" t="s">
        <v>472</v>
      </c>
      <c r="B32" s="267">
        <f>+'Z_1.1.sz.mell.'!D161</f>
        <v>726459205</v>
      </c>
      <c r="C32" s="266" t="s">
        <v>436</v>
      </c>
      <c r="D32" s="268">
        <f>+'Z_2.1.sz.mell'!H30+'Z_2.2.sz.mell'!H31</f>
        <v>726459205</v>
      </c>
      <c r="E32" s="267">
        <f>+B32-D32</f>
        <v>0</v>
      </c>
    </row>
    <row r="33" spans="1:5" ht="12.75">
      <c r="A33" s="266"/>
      <c r="B33" s="267"/>
      <c r="C33" s="266"/>
      <c r="D33" s="268"/>
      <c r="E33" s="267"/>
    </row>
    <row r="34" spans="1:5" ht="15">
      <c r="A34" s="272" t="str">
        <f>+Z_ÖSSZEFÜGGÉSEK!A37</f>
        <v>2019.évi teljesített KIADÁSOK</v>
      </c>
      <c r="B34" s="269"/>
      <c r="C34" s="270"/>
      <c r="D34" s="268"/>
      <c r="E34" s="267"/>
    </row>
    <row r="35" spans="1:5" ht="12.75">
      <c r="A35" s="266"/>
      <c r="B35" s="267"/>
      <c r="C35" s="266"/>
      <c r="D35" s="268"/>
      <c r="E35" s="267"/>
    </row>
    <row r="36" spans="1:5" ht="12.75">
      <c r="A36" s="266" t="s">
        <v>473</v>
      </c>
      <c r="B36" s="267">
        <f>+'Z_1.1.sz.mell.'!E135</f>
        <v>528023212</v>
      </c>
      <c r="C36" s="266" t="s">
        <v>426</v>
      </c>
      <c r="D36" s="268">
        <f>+'Z_2.1.sz.mell'!I18+'Z_2.2.sz.mell'!I17</f>
        <v>528023212</v>
      </c>
      <c r="E36" s="267">
        <f>+B36-D36</f>
        <v>0</v>
      </c>
    </row>
    <row r="37" spans="1:5" ht="12.75">
      <c r="A37" s="266" t="s">
        <v>474</v>
      </c>
      <c r="B37" s="267">
        <f>+'Z_1.1.sz.mell.'!E160</f>
        <v>13230398</v>
      </c>
      <c r="C37" s="266" t="s">
        <v>437</v>
      </c>
      <c r="D37" s="268">
        <f>+'Z_2.1.sz.mell'!I29+'Z_2.2.sz.mell'!I30</f>
        <v>13230398</v>
      </c>
      <c r="E37" s="267">
        <f>+B37-D37</f>
        <v>0</v>
      </c>
    </row>
    <row r="38" spans="1:5" ht="12.75">
      <c r="A38" s="266" t="s">
        <v>479</v>
      </c>
      <c r="B38" s="267">
        <f>+'Z_1.1.sz.mell.'!E161</f>
        <v>541253610</v>
      </c>
      <c r="C38" s="266" t="s">
        <v>438</v>
      </c>
      <c r="D38" s="268">
        <f>+'Z_2.1.sz.mell'!I30+'Z_2.2.sz.mell'!I31</f>
        <v>541253610</v>
      </c>
      <c r="E38" s="26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workbookViewId="0" topLeftCell="A28">
      <selection activeCell="B52" sqref="B52"/>
    </sheetView>
  </sheetViews>
  <sheetFormatPr defaultColWidth="9.375" defaultRowHeight="12.75"/>
  <cols>
    <col min="1" max="1" width="47.125" style="28" customWidth="1"/>
    <col min="2" max="2" width="19.1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33" customWidth="1"/>
    <col min="8" max="8" width="12.75390625" style="27" customWidth="1"/>
    <col min="9" max="16384" width="9.375" style="27" customWidth="1"/>
  </cols>
  <sheetData>
    <row r="1" spans="1:7" ht="13.5">
      <c r="A1" s="390"/>
      <c r="B1" s="769" t="str">
        <f>CONCATENATE("3. melléklet ",Z_ALAPADATOK!A7," ",Z_ALAPADATOK!B7," ",Z_ALAPADATOK!C7," ",Z_ALAPADATOK!D7," ",Z_ALAPADATOK!E7," ",Z_ALAPADATOK!F7," ",Z_ALAPADATOK!G7," ",Z_ALAPADATOK!H7)</f>
        <v>3. melléklet a … / 2020. ( … ) önkormányzati rendelethez</v>
      </c>
      <c r="C1" s="770"/>
      <c r="D1" s="770"/>
      <c r="E1" s="770"/>
      <c r="F1" s="770"/>
      <c r="G1" s="770"/>
    </row>
    <row r="2" spans="1:7" ht="12.75">
      <c r="A2" s="390"/>
      <c r="B2" s="391"/>
      <c r="C2" s="391"/>
      <c r="D2" s="391"/>
      <c r="E2" s="391"/>
      <c r="F2" s="391"/>
      <c r="G2" s="391"/>
    </row>
    <row r="3" spans="1:7" ht="25.5" customHeight="1">
      <c r="A3" s="768" t="s">
        <v>521</v>
      </c>
      <c r="B3" s="768"/>
      <c r="C3" s="768"/>
      <c r="D3" s="768"/>
      <c r="E3" s="768"/>
      <c r="F3" s="768"/>
      <c r="G3" s="768"/>
    </row>
    <row r="4" spans="1:7" ht="22.5" customHeight="1" thickBot="1">
      <c r="A4" s="390"/>
      <c r="B4" s="391"/>
      <c r="C4" s="391"/>
      <c r="D4" s="391"/>
      <c r="E4" s="391"/>
      <c r="F4" s="391"/>
      <c r="G4" s="392" t="str">
        <f>'Z_2.2.sz.mell'!I2</f>
        <v> Forintban!</v>
      </c>
    </row>
    <row r="5" spans="1:7" s="29" customFormat="1" ht="44.25" customHeight="1" thickBot="1">
      <c r="A5" s="393" t="s">
        <v>48</v>
      </c>
      <c r="B5" s="359" t="s">
        <v>49</v>
      </c>
      <c r="C5" s="359" t="s">
        <v>50</v>
      </c>
      <c r="D5" s="359" t="str">
        <f>+CONCATENATE("Felhasználás   ",LEFT(Z_ÖSSZEFÜGGÉSEK!A6,4)-1,". XII. 31-ig")</f>
        <v>Felhasználás   2018. XII. 31-ig</v>
      </c>
      <c r="E5" s="359" t="str">
        <f>+CONCATENATE(LEFT(Z_ÖSSZEFÜGGÉSEK!A6,4),". évi",CHAR(10),"módosított előirányzat")</f>
        <v>2019. évi
módosított előirányzat</v>
      </c>
      <c r="F5" s="359" t="str">
        <f>+CONCATENATE("Teljesítés",CHAR(10),LEFT(Z_ÖSSZEFÜGGÉSEK!A6,4),". XII. 31-ig")</f>
        <v>Teljesítés
2019. XII. 31-ig</v>
      </c>
      <c r="G5" s="360" t="str">
        <f>+CONCATENATE("Összes teljesítés",CHAR(10),LEFT(Z_ÖSSZEFÜGGÉSEK!A6,4),". XII. 31-ig")</f>
        <v>Összes teljesítés
2019. XII. 31-ig</v>
      </c>
    </row>
    <row r="6" spans="1:7" s="33" customFormat="1" ht="12" customHeight="1">
      <c r="A6" s="663" t="s">
        <v>381</v>
      </c>
      <c r="B6" s="664" t="s">
        <v>382</v>
      </c>
      <c r="C6" s="664" t="s">
        <v>383</v>
      </c>
      <c r="D6" s="664" t="s">
        <v>385</v>
      </c>
      <c r="E6" s="664" t="s">
        <v>384</v>
      </c>
      <c r="F6" s="664" t="s">
        <v>386</v>
      </c>
      <c r="G6" s="665" t="s">
        <v>439</v>
      </c>
    </row>
    <row r="7" spans="1:7" ht="42.75" customHeight="1">
      <c r="A7" s="674" t="s">
        <v>810</v>
      </c>
      <c r="B7" s="682">
        <v>1835000</v>
      </c>
      <c r="C7" s="661" t="s">
        <v>816</v>
      </c>
      <c r="D7" s="662"/>
      <c r="E7" s="662">
        <v>1835000</v>
      </c>
      <c r="F7" s="662">
        <v>1835000</v>
      </c>
      <c r="G7" s="666">
        <f>B7-D7-F7</f>
        <v>0</v>
      </c>
    </row>
    <row r="8" spans="1:7" ht="36.75" customHeight="1">
      <c r="A8" s="675" t="s">
        <v>853</v>
      </c>
      <c r="B8" s="682">
        <v>118976948</v>
      </c>
      <c r="C8" s="661" t="s">
        <v>817</v>
      </c>
      <c r="D8" s="662">
        <v>44342865</v>
      </c>
      <c r="E8" s="662">
        <v>64978037</v>
      </c>
      <c r="F8" s="662">
        <v>45166345</v>
      </c>
      <c r="G8" s="666">
        <f>B8-D8-F8</f>
        <v>29467738</v>
      </c>
    </row>
    <row r="9" spans="1:7" ht="15.75" customHeight="1">
      <c r="A9" s="675" t="s">
        <v>811</v>
      </c>
      <c r="B9" s="682">
        <v>2245692</v>
      </c>
      <c r="C9" s="661" t="s">
        <v>816</v>
      </c>
      <c r="D9" s="662"/>
      <c r="E9" s="662">
        <v>2245692</v>
      </c>
      <c r="F9" s="662">
        <v>2245692</v>
      </c>
      <c r="G9" s="666">
        <f aca="true" t="shared" si="0" ref="G9:G43">B9-D9-F9</f>
        <v>0</v>
      </c>
    </row>
    <row r="10" spans="1:7" ht="15.75" customHeight="1">
      <c r="A10" s="675" t="s">
        <v>812</v>
      </c>
      <c r="B10" s="682">
        <v>2000000</v>
      </c>
      <c r="C10" s="661" t="s">
        <v>816</v>
      </c>
      <c r="D10" s="662"/>
      <c r="E10" s="662">
        <v>2000000</v>
      </c>
      <c r="F10" s="662">
        <v>2000000</v>
      </c>
      <c r="G10" s="666">
        <f t="shared" si="0"/>
        <v>0</v>
      </c>
    </row>
    <row r="11" spans="1:7" ht="30.75" customHeight="1">
      <c r="A11" s="675" t="s">
        <v>813</v>
      </c>
      <c r="B11" s="682">
        <v>153535</v>
      </c>
      <c r="C11" s="661" t="s">
        <v>816</v>
      </c>
      <c r="D11" s="662"/>
      <c r="E11" s="662">
        <v>153535</v>
      </c>
      <c r="F11" s="662">
        <v>153535</v>
      </c>
      <c r="G11" s="666">
        <f t="shared" si="0"/>
        <v>0</v>
      </c>
    </row>
    <row r="12" spans="1:7" ht="15.75" customHeight="1">
      <c r="A12" s="675" t="s">
        <v>814</v>
      </c>
      <c r="B12" s="682">
        <v>1273760</v>
      </c>
      <c r="C12" s="661" t="s">
        <v>816</v>
      </c>
      <c r="D12" s="662"/>
      <c r="E12" s="662">
        <v>1273760</v>
      </c>
      <c r="F12" s="662">
        <v>1273760</v>
      </c>
      <c r="G12" s="666">
        <f t="shared" si="0"/>
        <v>0</v>
      </c>
    </row>
    <row r="13" spans="1:7" ht="15.75" customHeight="1">
      <c r="A13" s="675" t="s">
        <v>815</v>
      </c>
      <c r="B13" s="682">
        <v>103889</v>
      </c>
      <c r="C13" s="661" t="s">
        <v>816</v>
      </c>
      <c r="D13" s="662"/>
      <c r="E13" s="662">
        <v>103889</v>
      </c>
      <c r="F13" s="662">
        <v>103889</v>
      </c>
      <c r="G13" s="666">
        <f t="shared" si="0"/>
        <v>0</v>
      </c>
    </row>
    <row r="14" spans="1:7" ht="15.75" customHeight="1">
      <c r="A14" s="676" t="s">
        <v>823</v>
      </c>
      <c r="B14" s="683">
        <v>2048640</v>
      </c>
      <c r="C14" s="661" t="s">
        <v>816</v>
      </c>
      <c r="D14" s="678"/>
      <c r="E14" s="677">
        <v>2048640</v>
      </c>
      <c r="F14" s="679">
        <v>2048640</v>
      </c>
      <c r="G14" s="666">
        <f t="shared" si="0"/>
        <v>0</v>
      </c>
    </row>
    <row r="15" spans="1:7" ht="15.75" customHeight="1">
      <c r="A15" s="676" t="s">
        <v>824</v>
      </c>
      <c r="B15" s="683">
        <v>402000</v>
      </c>
      <c r="C15" s="661" t="s">
        <v>816</v>
      </c>
      <c r="D15" s="678"/>
      <c r="E15" s="677">
        <v>402000</v>
      </c>
      <c r="F15" s="679">
        <v>402000</v>
      </c>
      <c r="G15" s="666">
        <f t="shared" si="0"/>
        <v>0</v>
      </c>
    </row>
    <row r="16" spans="1:7" ht="15.75" customHeight="1">
      <c r="A16" s="676" t="s">
        <v>825</v>
      </c>
      <c r="B16" s="683">
        <v>73267</v>
      </c>
      <c r="C16" s="661" t="s">
        <v>816</v>
      </c>
      <c r="D16" s="678"/>
      <c r="E16" s="677">
        <v>73267</v>
      </c>
      <c r="F16" s="679">
        <v>73267</v>
      </c>
      <c r="G16" s="666">
        <f t="shared" si="0"/>
        <v>0</v>
      </c>
    </row>
    <row r="17" spans="1:7" ht="15.75" customHeight="1">
      <c r="A17" s="676" t="s">
        <v>826</v>
      </c>
      <c r="B17" s="683">
        <v>178000</v>
      </c>
      <c r="C17" s="661" t="s">
        <v>816</v>
      </c>
      <c r="D17" s="678"/>
      <c r="E17" s="677">
        <v>178000</v>
      </c>
      <c r="F17" s="679">
        <v>178000</v>
      </c>
      <c r="G17" s="666">
        <f t="shared" si="0"/>
        <v>0</v>
      </c>
    </row>
    <row r="18" spans="1:7" ht="15.75" customHeight="1">
      <c r="A18" s="676" t="s">
        <v>827</v>
      </c>
      <c r="B18" s="683">
        <v>11803</v>
      </c>
      <c r="C18" s="661" t="s">
        <v>816</v>
      </c>
      <c r="D18" s="678"/>
      <c r="E18" s="677">
        <v>11803</v>
      </c>
      <c r="F18" s="679">
        <v>11803</v>
      </c>
      <c r="G18" s="666">
        <f t="shared" si="0"/>
        <v>0</v>
      </c>
    </row>
    <row r="19" spans="1:7" ht="15.75" customHeight="1">
      <c r="A19" s="676" t="s">
        <v>828</v>
      </c>
      <c r="B19" s="683">
        <v>1350000</v>
      </c>
      <c r="C19" s="661" t="s">
        <v>816</v>
      </c>
      <c r="D19" s="678"/>
      <c r="E19" s="677">
        <v>1350000</v>
      </c>
      <c r="F19" s="679">
        <v>1350000</v>
      </c>
      <c r="G19" s="666">
        <f t="shared" si="0"/>
        <v>0</v>
      </c>
    </row>
    <row r="20" spans="1:7" ht="15.75" customHeight="1">
      <c r="A20" s="676" t="s">
        <v>829</v>
      </c>
      <c r="B20" s="683">
        <v>2650000</v>
      </c>
      <c r="C20" s="661" t="s">
        <v>816</v>
      </c>
      <c r="D20" s="678"/>
      <c r="E20" s="677">
        <v>2650000</v>
      </c>
      <c r="F20" s="679">
        <v>2650000</v>
      </c>
      <c r="G20" s="666">
        <f t="shared" si="0"/>
        <v>0</v>
      </c>
    </row>
    <row r="21" spans="1:7" ht="15.75" customHeight="1">
      <c r="A21" s="676" t="s">
        <v>830</v>
      </c>
      <c r="B21" s="683">
        <v>54331</v>
      </c>
      <c r="C21" s="661" t="s">
        <v>816</v>
      </c>
      <c r="D21" s="678"/>
      <c r="E21" s="677">
        <v>54331</v>
      </c>
      <c r="F21" s="679">
        <v>54331</v>
      </c>
      <c r="G21" s="666">
        <f t="shared" si="0"/>
        <v>0</v>
      </c>
    </row>
    <row r="22" spans="1:7" ht="15.75" customHeight="1">
      <c r="A22" s="676" t="s">
        <v>831</v>
      </c>
      <c r="B22" s="683">
        <v>65472</v>
      </c>
      <c r="C22" s="661" t="s">
        <v>816</v>
      </c>
      <c r="D22" s="678"/>
      <c r="E22" s="677">
        <v>65472</v>
      </c>
      <c r="F22" s="679">
        <v>65472</v>
      </c>
      <c r="G22" s="666">
        <f t="shared" si="0"/>
        <v>0</v>
      </c>
    </row>
    <row r="23" spans="1:7" ht="15.75" customHeight="1">
      <c r="A23" s="676" t="s">
        <v>832</v>
      </c>
      <c r="B23" s="683">
        <v>159043</v>
      </c>
      <c r="C23" s="661" t="s">
        <v>816</v>
      </c>
      <c r="D23" s="678"/>
      <c r="E23" s="677">
        <v>159043</v>
      </c>
      <c r="F23" s="679">
        <v>159043</v>
      </c>
      <c r="G23" s="666">
        <f t="shared" si="0"/>
        <v>0</v>
      </c>
    </row>
    <row r="24" spans="1:7" ht="15.75" customHeight="1">
      <c r="A24" s="676" t="s">
        <v>833</v>
      </c>
      <c r="B24" s="683">
        <v>16915</v>
      </c>
      <c r="C24" s="661" t="s">
        <v>816</v>
      </c>
      <c r="D24" s="678"/>
      <c r="E24" s="677">
        <v>16915</v>
      </c>
      <c r="F24" s="679">
        <v>16915</v>
      </c>
      <c r="G24" s="666">
        <f t="shared" si="0"/>
        <v>0</v>
      </c>
    </row>
    <row r="25" spans="1:7" ht="15.75" customHeight="1">
      <c r="A25" s="676" t="s">
        <v>834</v>
      </c>
      <c r="B25" s="683">
        <v>98635</v>
      </c>
      <c r="C25" s="661" t="s">
        <v>816</v>
      </c>
      <c r="D25" s="678"/>
      <c r="E25" s="677">
        <v>98635</v>
      </c>
      <c r="F25" s="679">
        <v>98635</v>
      </c>
      <c r="G25" s="666">
        <f t="shared" si="0"/>
        <v>0</v>
      </c>
    </row>
    <row r="26" spans="1:7" ht="15.75" customHeight="1">
      <c r="A26" s="676" t="s">
        <v>835</v>
      </c>
      <c r="B26" s="683">
        <v>932100</v>
      </c>
      <c r="C26" s="661" t="s">
        <v>816</v>
      </c>
      <c r="D26" s="678"/>
      <c r="E26" s="677">
        <v>932100</v>
      </c>
      <c r="F26" s="679">
        <v>932100</v>
      </c>
      <c r="G26" s="666">
        <f t="shared" si="0"/>
        <v>0</v>
      </c>
    </row>
    <row r="27" spans="1:7" ht="15.75" customHeight="1">
      <c r="A27" s="676" t="s">
        <v>836</v>
      </c>
      <c r="B27" s="683">
        <v>25984</v>
      </c>
      <c r="C27" s="661" t="s">
        <v>816</v>
      </c>
      <c r="D27" s="678"/>
      <c r="E27" s="677">
        <v>25984</v>
      </c>
      <c r="F27" s="677">
        <v>25984</v>
      </c>
      <c r="G27" s="666">
        <f t="shared" si="0"/>
        <v>0</v>
      </c>
    </row>
    <row r="28" spans="1:7" ht="15.75" customHeight="1">
      <c r="A28" s="676" t="s">
        <v>837</v>
      </c>
      <c r="B28" s="683">
        <v>157472</v>
      </c>
      <c r="C28" s="661" t="s">
        <v>816</v>
      </c>
      <c r="D28" s="678"/>
      <c r="E28" s="677">
        <v>157472</v>
      </c>
      <c r="F28" s="677">
        <v>157472</v>
      </c>
      <c r="G28" s="666">
        <f t="shared" si="0"/>
        <v>0</v>
      </c>
    </row>
    <row r="29" spans="1:7" ht="15.75" customHeight="1">
      <c r="A29" s="676" t="s">
        <v>838</v>
      </c>
      <c r="B29" s="683">
        <v>276060</v>
      </c>
      <c r="C29" s="661" t="s">
        <v>816</v>
      </c>
      <c r="D29" s="678"/>
      <c r="E29" s="677">
        <v>276060</v>
      </c>
      <c r="F29" s="679">
        <v>276060</v>
      </c>
      <c r="G29" s="666">
        <f t="shared" si="0"/>
        <v>0</v>
      </c>
    </row>
    <row r="30" spans="1:7" ht="15.75" customHeight="1">
      <c r="A30" s="676" t="s">
        <v>839</v>
      </c>
      <c r="B30" s="683">
        <v>1102362</v>
      </c>
      <c r="C30" s="661" t="s">
        <v>816</v>
      </c>
      <c r="D30" s="678"/>
      <c r="E30" s="677">
        <v>1102362</v>
      </c>
      <c r="F30" s="679">
        <v>1102362</v>
      </c>
      <c r="G30" s="666">
        <f t="shared" si="0"/>
        <v>0</v>
      </c>
    </row>
    <row r="31" spans="1:7" ht="15.75" customHeight="1">
      <c r="A31" s="676" t="s">
        <v>840</v>
      </c>
      <c r="B31" s="683">
        <v>304000</v>
      </c>
      <c r="C31" s="661" t="s">
        <v>816</v>
      </c>
      <c r="D31" s="678"/>
      <c r="E31" s="677">
        <v>304000</v>
      </c>
      <c r="F31" s="679">
        <v>304000</v>
      </c>
      <c r="G31" s="666">
        <f t="shared" si="0"/>
        <v>0</v>
      </c>
    </row>
    <row r="32" spans="1:7" ht="15.75" customHeight="1">
      <c r="A32" s="676" t="s">
        <v>841</v>
      </c>
      <c r="B32" s="683">
        <v>13490</v>
      </c>
      <c r="C32" s="661" t="s">
        <v>816</v>
      </c>
      <c r="D32" s="678"/>
      <c r="E32" s="677">
        <v>13490</v>
      </c>
      <c r="F32" s="679">
        <v>13490</v>
      </c>
      <c r="G32" s="666">
        <f t="shared" si="0"/>
        <v>0</v>
      </c>
    </row>
    <row r="33" spans="1:7" ht="15.75" customHeight="1">
      <c r="A33" s="676" t="s">
        <v>842</v>
      </c>
      <c r="B33" s="683">
        <v>31496</v>
      </c>
      <c r="C33" s="661" t="s">
        <v>816</v>
      </c>
      <c r="D33" s="662"/>
      <c r="E33" s="677">
        <v>31496</v>
      </c>
      <c r="F33" s="679">
        <v>31496</v>
      </c>
      <c r="G33" s="666">
        <f t="shared" si="0"/>
        <v>0</v>
      </c>
    </row>
    <row r="34" spans="1:7" ht="15.75" customHeight="1">
      <c r="A34" s="676" t="s">
        <v>843</v>
      </c>
      <c r="B34" s="683">
        <v>65000</v>
      </c>
      <c r="C34" s="661" t="s">
        <v>816</v>
      </c>
      <c r="D34" s="662"/>
      <c r="E34" s="677">
        <v>65000</v>
      </c>
      <c r="F34" s="679">
        <v>65000</v>
      </c>
      <c r="G34" s="666">
        <f t="shared" si="0"/>
        <v>0</v>
      </c>
    </row>
    <row r="35" spans="1:7" ht="15.75" customHeight="1">
      <c r="A35" s="676" t="s">
        <v>844</v>
      </c>
      <c r="B35" s="683">
        <v>82764</v>
      </c>
      <c r="C35" s="661" t="s">
        <v>816</v>
      </c>
      <c r="D35" s="662"/>
      <c r="E35" s="677">
        <v>82764</v>
      </c>
      <c r="F35" s="679">
        <v>82764</v>
      </c>
      <c r="G35" s="666">
        <f t="shared" si="0"/>
        <v>0</v>
      </c>
    </row>
    <row r="36" spans="1:7" ht="15.75" customHeight="1">
      <c r="A36" s="676" t="s">
        <v>845</v>
      </c>
      <c r="B36" s="683">
        <v>52000</v>
      </c>
      <c r="C36" s="661" t="s">
        <v>816</v>
      </c>
      <c r="D36" s="662"/>
      <c r="E36" s="677">
        <v>52000</v>
      </c>
      <c r="F36" s="679">
        <v>52000</v>
      </c>
      <c r="G36" s="666">
        <f t="shared" si="0"/>
        <v>0</v>
      </c>
    </row>
    <row r="37" spans="1:7" ht="15.75" customHeight="1">
      <c r="A37" s="676" t="s">
        <v>846</v>
      </c>
      <c r="B37" s="683">
        <v>117323</v>
      </c>
      <c r="C37" s="661" t="s">
        <v>816</v>
      </c>
      <c r="D37" s="662"/>
      <c r="E37" s="677">
        <v>117323</v>
      </c>
      <c r="F37" s="677">
        <v>117323</v>
      </c>
      <c r="G37" s="666">
        <f t="shared" si="0"/>
        <v>0</v>
      </c>
    </row>
    <row r="38" spans="1:7" ht="15.75" customHeight="1">
      <c r="A38" s="676" t="s">
        <v>847</v>
      </c>
      <c r="B38" s="683">
        <v>23150</v>
      </c>
      <c r="C38" s="661" t="s">
        <v>816</v>
      </c>
      <c r="D38" s="662"/>
      <c r="E38" s="677">
        <v>23150</v>
      </c>
      <c r="F38" s="679">
        <v>23150</v>
      </c>
      <c r="G38" s="666">
        <f t="shared" si="0"/>
        <v>0</v>
      </c>
    </row>
    <row r="39" spans="1:7" ht="15.75" customHeight="1">
      <c r="A39" s="676" t="s">
        <v>848</v>
      </c>
      <c r="B39" s="683">
        <v>103937</v>
      </c>
      <c r="C39" s="661" t="s">
        <v>816</v>
      </c>
      <c r="D39" s="662"/>
      <c r="E39" s="677">
        <v>103937</v>
      </c>
      <c r="F39" s="679">
        <v>103937</v>
      </c>
      <c r="G39" s="666">
        <f t="shared" si="0"/>
        <v>0</v>
      </c>
    </row>
    <row r="40" spans="1:7" ht="15.75" customHeight="1">
      <c r="A40" s="676" t="s">
        <v>849</v>
      </c>
      <c r="B40" s="683">
        <v>6133</v>
      </c>
      <c r="C40" s="661" t="s">
        <v>816</v>
      </c>
      <c r="D40" s="662"/>
      <c r="E40" s="677">
        <v>6133</v>
      </c>
      <c r="F40" s="677">
        <v>6133</v>
      </c>
      <c r="G40" s="666">
        <f t="shared" si="0"/>
        <v>0</v>
      </c>
    </row>
    <row r="41" spans="1:7" ht="15.75" customHeight="1">
      <c r="A41" s="676" t="s">
        <v>850</v>
      </c>
      <c r="B41" s="683">
        <v>356000</v>
      </c>
      <c r="C41" s="661" t="s">
        <v>816</v>
      </c>
      <c r="D41" s="662"/>
      <c r="E41" s="677">
        <v>356000</v>
      </c>
      <c r="F41" s="677">
        <v>356000</v>
      </c>
      <c r="G41" s="666">
        <f t="shared" si="0"/>
        <v>0</v>
      </c>
    </row>
    <row r="42" spans="1:7" ht="15.75" customHeight="1">
      <c r="A42" s="676" t="s">
        <v>851</v>
      </c>
      <c r="B42" s="683">
        <v>99000</v>
      </c>
      <c r="C42" s="661" t="s">
        <v>816</v>
      </c>
      <c r="D42" s="662"/>
      <c r="E42" s="677">
        <v>99000</v>
      </c>
      <c r="F42" s="677">
        <v>99000</v>
      </c>
      <c r="G42" s="666">
        <f t="shared" si="0"/>
        <v>0</v>
      </c>
    </row>
    <row r="43" spans="1:7" ht="15.75" customHeight="1">
      <c r="A43" s="676" t="s">
        <v>852</v>
      </c>
      <c r="B43" s="683">
        <v>23543</v>
      </c>
      <c r="C43" s="661" t="s">
        <v>816</v>
      </c>
      <c r="D43" s="662"/>
      <c r="E43" s="677">
        <v>23543</v>
      </c>
      <c r="F43" s="679">
        <v>23543</v>
      </c>
      <c r="G43" s="666">
        <f t="shared" si="0"/>
        <v>0</v>
      </c>
    </row>
    <row r="44" spans="1:7" ht="15.75" customHeight="1">
      <c r="A44" s="680" t="s">
        <v>818</v>
      </c>
      <c r="B44" s="683">
        <v>42260</v>
      </c>
      <c r="C44" s="661" t="s">
        <v>816</v>
      </c>
      <c r="D44" s="662"/>
      <c r="E44" s="681">
        <v>42260</v>
      </c>
      <c r="F44" s="681">
        <v>42260</v>
      </c>
      <c r="G44" s="666"/>
    </row>
    <row r="45" spans="1:7" ht="15.75" customHeight="1">
      <c r="A45" s="680" t="s">
        <v>819</v>
      </c>
      <c r="B45" s="683">
        <v>445000</v>
      </c>
      <c r="C45" s="661" t="s">
        <v>816</v>
      </c>
      <c r="D45" s="662"/>
      <c r="E45" s="681">
        <v>544978</v>
      </c>
      <c r="F45" s="681">
        <v>445000</v>
      </c>
      <c r="G45" s="666"/>
    </row>
    <row r="46" spans="1:7" ht="15.75" customHeight="1">
      <c r="A46" s="680" t="s">
        <v>820</v>
      </c>
      <c r="B46" s="683">
        <v>1717000</v>
      </c>
      <c r="C46" s="661" t="s">
        <v>816</v>
      </c>
      <c r="D46" s="662"/>
      <c r="E46" s="681">
        <v>1717000</v>
      </c>
      <c r="F46" s="681">
        <v>1717000</v>
      </c>
      <c r="G46" s="666"/>
    </row>
    <row r="47" spans="1:7" ht="15.75" customHeight="1">
      <c r="A47" s="680" t="s">
        <v>821</v>
      </c>
      <c r="B47" s="683">
        <v>118000</v>
      </c>
      <c r="C47" s="661" t="s">
        <v>816</v>
      </c>
      <c r="D47" s="662"/>
      <c r="E47" s="681">
        <v>118000</v>
      </c>
      <c r="F47" s="681">
        <v>118000</v>
      </c>
      <c r="G47" s="666"/>
    </row>
    <row r="48" spans="1:7" ht="15.75" customHeight="1" thickBot="1">
      <c r="A48" s="680" t="s">
        <v>822</v>
      </c>
      <c r="B48" s="683">
        <v>173550</v>
      </c>
      <c r="C48" s="661" t="s">
        <v>816</v>
      </c>
      <c r="D48" s="662"/>
      <c r="E48" s="681">
        <v>173550</v>
      </c>
      <c r="F48" s="681">
        <v>173550</v>
      </c>
      <c r="G48" s="666"/>
    </row>
    <row r="49" spans="1:7" s="37" customFormat="1" ht="18" customHeight="1" thickBot="1">
      <c r="A49" s="70" t="s">
        <v>47</v>
      </c>
      <c r="B49" s="35">
        <f>SUM(B7:B48)</f>
        <v>139964554</v>
      </c>
      <c r="C49" s="54"/>
      <c r="D49" s="35">
        <f>SUM(D7:D43)</f>
        <v>44342865</v>
      </c>
      <c r="E49" s="35">
        <f>SUM(E7:E48)</f>
        <v>86065621</v>
      </c>
      <c r="F49" s="35">
        <f>SUM(F7:F48)</f>
        <v>66153951</v>
      </c>
      <c r="G49" s="36">
        <f>SUM(G7:G48)</f>
        <v>29467738</v>
      </c>
    </row>
    <row r="51" spans="1:2" ht="12.75">
      <c r="A51" s="28" t="s">
        <v>939</v>
      </c>
      <c r="B51" s="27">
        <v>4800225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="120" zoomScaleNormal="120" workbookViewId="0" topLeftCell="A20">
      <selection activeCell="I5" sqref="I1:L16384"/>
    </sheetView>
  </sheetViews>
  <sheetFormatPr defaultColWidth="9.37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27" customWidth="1"/>
    <col min="8" max="8" width="12.75390625" style="27" customWidth="1"/>
    <col min="9" max="16384" width="9.375" style="27" customWidth="1"/>
  </cols>
  <sheetData>
    <row r="1" spans="1:7" ht="13.5">
      <c r="A1" s="390"/>
      <c r="B1" s="769" t="str">
        <f>CONCATENATE("4. melléklet ",Z_ALAPADATOK!A7," ",Z_ALAPADATOK!B7," ",Z_ALAPADATOK!C7," ",Z_ALAPADATOK!D7," ",Z_ALAPADATOK!E7," ",Z_ALAPADATOK!F7," ",Z_ALAPADATOK!G7," ",Z_ALAPADATOK!H7)</f>
        <v>4. melléklet a … / 2020. ( … ) önkormányzati rendelethez</v>
      </c>
      <c r="C1" s="769"/>
      <c r="D1" s="769"/>
      <c r="E1" s="769"/>
      <c r="F1" s="769"/>
      <c r="G1" s="769"/>
    </row>
    <row r="2" spans="1:7" ht="12.75">
      <c r="A2" s="390"/>
      <c r="B2" s="391"/>
      <c r="C2" s="391"/>
      <c r="D2" s="391"/>
      <c r="E2" s="391"/>
      <c r="F2" s="391"/>
      <c r="G2" s="391"/>
    </row>
    <row r="3" spans="1:7" ht="24.75" customHeight="1">
      <c r="A3" s="768" t="s">
        <v>522</v>
      </c>
      <c r="B3" s="768"/>
      <c r="C3" s="768"/>
      <c r="D3" s="768"/>
      <c r="E3" s="768"/>
      <c r="F3" s="768"/>
      <c r="G3" s="768"/>
    </row>
    <row r="4" spans="1:7" ht="23.25" customHeight="1" thickBot="1">
      <c r="A4" s="390"/>
      <c r="B4" s="391"/>
      <c r="C4" s="391"/>
      <c r="D4" s="391"/>
      <c r="E4" s="391"/>
      <c r="F4" s="391"/>
      <c r="G4" s="392" t="str">
        <f>'Z_3.sz.mell.'!G4</f>
        <v> Forintban!</v>
      </c>
    </row>
    <row r="5" spans="1:7" s="29" customFormat="1" ht="48.75" customHeight="1" thickBot="1">
      <c r="A5" s="393" t="s">
        <v>51</v>
      </c>
      <c r="B5" s="359" t="s">
        <v>49</v>
      </c>
      <c r="C5" s="359" t="s">
        <v>50</v>
      </c>
      <c r="D5" s="359" t="str">
        <f>+'Z_3.sz.mell.'!D5</f>
        <v>Felhasználás   2018. XII. 31-ig</v>
      </c>
      <c r="E5" s="359" t="str">
        <f>+CONCATENATE(LEFT(Z_ÖSSZEFÜGGÉSEK!A6,4),". évi",CHAR(10),"módosított előirányzat")</f>
        <v>2019. évi
módosított előirányzat</v>
      </c>
      <c r="F5" s="359" t="str">
        <f>+CONCATENATE("Teljesítés",CHAR(10),LEFT(Z_ÖSSZEFÜGGÉSEK!A6,4),". XII. 31-ig")</f>
        <v>Teljesítés
2019. XII. 31-ig</v>
      </c>
      <c r="G5" s="360" t="str">
        <f>+CONCATENATE("Összes teljesítés",CHAR(10),LEFT(Z_ÖSSZEFÜGGÉSEK!A6,4),". XII. 31-ig")</f>
        <v>Összes teljesítés
2019. XII. 31-ig</v>
      </c>
    </row>
    <row r="6" spans="1:7" s="33" customFormat="1" ht="15" customHeight="1" thickBot="1">
      <c r="A6" s="394" t="s">
        <v>381</v>
      </c>
      <c r="B6" s="395" t="s">
        <v>382</v>
      </c>
      <c r="C6" s="395" t="s">
        <v>383</v>
      </c>
      <c r="D6" s="395" t="s">
        <v>385</v>
      </c>
      <c r="E6" s="395" t="s">
        <v>384</v>
      </c>
      <c r="F6" s="395" t="s">
        <v>386</v>
      </c>
      <c r="G6" s="396" t="s">
        <v>439</v>
      </c>
    </row>
    <row r="7" spans="1:7" ht="47.25" customHeight="1">
      <c r="A7" s="660" t="s">
        <v>854</v>
      </c>
      <c r="B7" s="39">
        <v>19627500</v>
      </c>
      <c r="C7" s="215" t="s">
        <v>816</v>
      </c>
      <c r="D7" s="39"/>
      <c r="E7" s="39">
        <v>19627500</v>
      </c>
      <c r="F7" s="39">
        <v>19627500</v>
      </c>
      <c r="G7" s="40">
        <f aca="true" t="shared" si="0" ref="G7:G25">B7-D7-F7</f>
        <v>0</v>
      </c>
    </row>
    <row r="8" spans="1:7" ht="15.75" customHeight="1">
      <c r="A8" s="669" t="s">
        <v>855</v>
      </c>
      <c r="B8" s="670">
        <v>13475471</v>
      </c>
      <c r="C8" s="667" t="s">
        <v>816</v>
      </c>
      <c r="D8" s="668"/>
      <c r="E8" s="671">
        <v>13475471</v>
      </c>
      <c r="F8" s="670">
        <v>13475471</v>
      </c>
      <c r="G8" s="40">
        <f t="shared" si="0"/>
        <v>0</v>
      </c>
    </row>
    <row r="9" spans="1:7" ht="15.75" customHeight="1">
      <c r="A9" s="669" t="s">
        <v>856</v>
      </c>
      <c r="B9" s="672">
        <v>56000</v>
      </c>
      <c r="C9" s="667" t="s">
        <v>816</v>
      </c>
      <c r="D9" s="668"/>
      <c r="E9" s="673">
        <v>56000</v>
      </c>
      <c r="F9" s="672">
        <v>56000</v>
      </c>
      <c r="G9" s="40">
        <f t="shared" si="0"/>
        <v>0</v>
      </c>
    </row>
    <row r="10" spans="1:7" ht="15.75" customHeight="1">
      <c r="A10" s="671" t="s">
        <v>857</v>
      </c>
      <c r="B10" s="670">
        <v>8222380</v>
      </c>
      <c r="C10" s="667" t="s">
        <v>816</v>
      </c>
      <c r="D10" s="668"/>
      <c r="E10" s="670">
        <v>8222380</v>
      </c>
      <c r="F10" s="670">
        <v>8222380</v>
      </c>
      <c r="G10" s="40">
        <f t="shared" si="0"/>
        <v>0</v>
      </c>
    </row>
    <row r="11" spans="1:7" ht="15.75" customHeight="1">
      <c r="A11" s="671" t="s">
        <v>858</v>
      </c>
      <c r="B11" s="670">
        <v>6948487</v>
      </c>
      <c r="C11" s="667" t="s">
        <v>816</v>
      </c>
      <c r="D11" s="668"/>
      <c r="E11" s="670">
        <v>6948487</v>
      </c>
      <c r="F11" s="670">
        <v>6948487</v>
      </c>
      <c r="G11" s="40">
        <f t="shared" si="0"/>
        <v>0</v>
      </c>
    </row>
    <row r="12" spans="1:7" ht="15.75" customHeight="1">
      <c r="A12" s="671" t="s">
        <v>859</v>
      </c>
      <c r="B12" s="670">
        <v>1898031</v>
      </c>
      <c r="C12" s="667" t="s">
        <v>816</v>
      </c>
      <c r="D12" s="668"/>
      <c r="E12" s="670">
        <v>1898031</v>
      </c>
      <c r="F12" s="670">
        <v>1898031</v>
      </c>
      <c r="G12" s="40">
        <f t="shared" si="0"/>
        <v>0</v>
      </c>
    </row>
    <row r="13" spans="1:7" ht="15.75" customHeight="1">
      <c r="A13" s="38"/>
      <c r="B13" s="39"/>
      <c r="C13" s="215"/>
      <c r="D13" s="39"/>
      <c r="E13" s="39"/>
      <c r="F13" s="39"/>
      <c r="G13" s="40">
        <f t="shared" si="0"/>
        <v>0</v>
      </c>
    </row>
    <row r="14" spans="1:7" ht="15.75" customHeight="1">
      <c r="A14" s="38"/>
      <c r="B14" s="39"/>
      <c r="C14" s="215"/>
      <c r="D14" s="39"/>
      <c r="E14" s="39"/>
      <c r="F14" s="39"/>
      <c r="G14" s="40">
        <f t="shared" si="0"/>
        <v>0</v>
      </c>
    </row>
    <row r="15" spans="1:7" ht="15.75" customHeight="1">
      <c r="A15" s="38"/>
      <c r="B15" s="39"/>
      <c r="C15" s="215"/>
      <c r="D15" s="39"/>
      <c r="E15" s="39"/>
      <c r="F15" s="39"/>
      <c r="G15" s="40">
        <f t="shared" si="0"/>
        <v>0</v>
      </c>
    </row>
    <row r="16" spans="1:7" ht="15.75" customHeight="1">
      <c r="A16" s="38"/>
      <c r="B16" s="39"/>
      <c r="C16" s="215"/>
      <c r="D16" s="39"/>
      <c r="E16" s="39"/>
      <c r="F16" s="39"/>
      <c r="G16" s="40">
        <f t="shared" si="0"/>
        <v>0</v>
      </c>
    </row>
    <row r="17" spans="1:7" ht="15.75" customHeight="1">
      <c r="A17" s="38"/>
      <c r="B17" s="39"/>
      <c r="C17" s="215"/>
      <c r="D17" s="39"/>
      <c r="E17" s="39"/>
      <c r="F17" s="39"/>
      <c r="G17" s="40">
        <f t="shared" si="0"/>
        <v>0</v>
      </c>
    </row>
    <row r="18" spans="1:7" ht="15.75" customHeight="1">
      <c r="A18" s="38"/>
      <c r="B18" s="39"/>
      <c r="C18" s="215"/>
      <c r="D18" s="39"/>
      <c r="E18" s="39"/>
      <c r="F18" s="39"/>
      <c r="G18" s="40">
        <f t="shared" si="0"/>
        <v>0</v>
      </c>
    </row>
    <row r="19" spans="1:7" ht="15.75" customHeight="1">
      <c r="A19" s="38"/>
      <c r="B19" s="39"/>
      <c r="C19" s="215"/>
      <c r="D19" s="39"/>
      <c r="E19" s="39"/>
      <c r="F19" s="39"/>
      <c r="G19" s="40">
        <f t="shared" si="0"/>
        <v>0</v>
      </c>
    </row>
    <row r="20" spans="1:7" ht="15.75" customHeight="1">
      <c r="A20" s="38"/>
      <c r="B20" s="39"/>
      <c r="C20" s="215"/>
      <c r="D20" s="39"/>
      <c r="E20" s="39"/>
      <c r="F20" s="39"/>
      <c r="G20" s="40">
        <f t="shared" si="0"/>
        <v>0</v>
      </c>
    </row>
    <row r="21" spans="1:7" ht="15.75" customHeight="1">
      <c r="A21" s="38"/>
      <c r="B21" s="39"/>
      <c r="C21" s="215"/>
      <c r="D21" s="39"/>
      <c r="E21" s="39"/>
      <c r="F21" s="39"/>
      <c r="G21" s="40">
        <f t="shared" si="0"/>
        <v>0</v>
      </c>
    </row>
    <row r="22" spans="1:7" ht="15.75" customHeight="1">
      <c r="A22" s="38"/>
      <c r="B22" s="39"/>
      <c r="C22" s="215"/>
      <c r="D22" s="39"/>
      <c r="E22" s="39"/>
      <c r="F22" s="39"/>
      <c r="G22" s="40">
        <f t="shared" si="0"/>
        <v>0</v>
      </c>
    </row>
    <row r="23" spans="1:7" ht="15.75" customHeight="1">
      <c r="A23" s="38"/>
      <c r="B23" s="39"/>
      <c r="C23" s="215"/>
      <c r="D23" s="39"/>
      <c r="E23" s="39"/>
      <c r="F23" s="39"/>
      <c r="G23" s="40">
        <f t="shared" si="0"/>
        <v>0</v>
      </c>
    </row>
    <row r="24" spans="1:7" ht="15.75" customHeight="1">
      <c r="A24" s="38"/>
      <c r="B24" s="39"/>
      <c r="C24" s="215"/>
      <c r="D24" s="39"/>
      <c r="E24" s="39"/>
      <c r="F24" s="39"/>
      <c r="G24" s="40">
        <f t="shared" si="0"/>
        <v>0</v>
      </c>
    </row>
    <row r="25" spans="1:7" ht="15.75" customHeight="1" thickBot="1">
      <c r="A25" s="41"/>
      <c r="B25" s="42"/>
      <c r="C25" s="216"/>
      <c r="D25" s="42"/>
      <c r="E25" s="42"/>
      <c r="F25" s="42"/>
      <c r="G25" s="43">
        <f t="shared" si="0"/>
        <v>0</v>
      </c>
    </row>
    <row r="26" spans="1:7" s="37" customFormat="1" ht="18" customHeight="1" thickBot="1">
      <c r="A26" s="70" t="s">
        <v>47</v>
      </c>
      <c r="B26" s="71">
        <f>SUM(B7:B25)</f>
        <v>50227869</v>
      </c>
      <c r="C26" s="55"/>
      <c r="D26" s="71">
        <f>SUM(D7:D25)</f>
        <v>0</v>
      </c>
      <c r="E26" s="71"/>
      <c r="F26" s="71">
        <f>SUM(F7:F25)</f>
        <v>50227869</v>
      </c>
      <c r="G26" s="44">
        <f>SUM(G7:G25)</f>
        <v>0</v>
      </c>
    </row>
    <row r="29" spans="1:2" ht="12.75">
      <c r="A29" s="28" t="s">
        <v>940</v>
      </c>
      <c r="B29" s="27">
        <v>11759923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6">
      <selection activeCell="M25" sqref="M25"/>
    </sheetView>
  </sheetViews>
  <sheetFormatPr defaultColWidth="9.37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3.5">
      <c r="A1" s="796" t="str">
        <f>CONCATENATE("5. melléklet ",Z_ALAPADATOK!A7," ",Z_ALAPADATOK!B7," ",Z_ALAPADATOK!C7," ",Z_ALAPADATOK!D7," ",Z_ALAPADATOK!E7," ",Z_ALAPADATOK!F7," ",Z_ALAPADATOK!G7," ",Z_ALAPADATOK!H7)</f>
        <v>5. melléklet a … / 2020. ( … ) önkormányzati rendelethez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</row>
    <row r="2" spans="1:13" ht="15">
      <c r="A2" s="797" t="s">
        <v>523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</row>
    <row r="3" spans="1:13" ht="15">
      <c r="A3" s="798" t="s">
        <v>860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</row>
    <row r="4" spans="1:14" ht="15.75" customHeight="1">
      <c r="A4" s="795" t="s">
        <v>440</v>
      </c>
      <c r="B4" s="795"/>
      <c r="C4" s="795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71"/>
    </row>
    <row r="5" spans="1:14" ht="14.2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772" t="str">
        <f>'Z_4.sz.mell.'!G4</f>
        <v> Forintban!</v>
      </c>
      <c r="M5" s="772"/>
      <c r="N5" s="771"/>
    </row>
    <row r="6" spans="1:14" ht="13.5" thickBot="1">
      <c r="A6" s="773" t="s">
        <v>84</v>
      </c>
      <c r="B6" s="776" t="s">
        <v>441</v>
      </c>
      <c r="C6" s="776"/>
      <c r="D6" s="776"/>
      <c r="E6" s="776"/>
      <c r="F6" s="776"/>
      <c r="G6" s="776"/>
      <c r="H6" s="776"/>
      <c r="I6" s="776"/>
      <c r="J6" s="777" t="s">
        <v>442</v>
      </c>
      <c r="K6" s="777"/>
      <c r="L6" s="777"/>
      <c r="M6" s="777"/>
      <c r="N6" s="771"/>
    </row>
    <row r="7" spans="1:14" ht="15" customHeight="1" thickBot="1">
      <c r="A7" s="774"/>
      <c r="B7" s="786" t="s">
        <v>443</v>
      </c>
      <c r="C7" s="790" t="s">
        <v>444</v>
      </c>
      <c r="D7" s="789" t="s">
        <v>445</v>
      </c>
      <c r="E7" s="789"/>
      <c r="F7" s="789"/>
      <c r="G7" s="789"/>
      <c r="H7" s="789"/>
      <c r="I7" s="789"/>
      <c r="J7" s="778"/>
      <c r="K7" s="778"/>
      <c r="L7" s="778"/>
      <c r="M7" s="778"/>
      <c r="N7" s="771"/>
    </row>
    <row r="8" spans="1:14" ht="13.5" thickBot="1">
      <c r="A8" s="774"/>
      <c r="B8" s="786"/>
      <c r="C8" s="790"/>
      <c r="D8" s="275" t="s">
        <v>443</v>
      </c>
      <c r="E8" s="275" t="s">
        <v>444</v>
      </c>
      <c r="F8" s="275" t="s">
        <v>443</v>
      </c>
      <c r="G8" s="275" t="s">
        <v>444</v>
      </c>
      <c r="H8" s="275" t="s">
        <v>443</v>
      </c>
      <c r="I8" s="275" t="s">
        <v>444</v>
      </c>
      <c r="J8" s="778"/>
      <c r="K8" s="778"/>
      <c r="L8" s="778"/>
      <c r="M8" s="778"/>
      <c r="N8" s="771"/>
    </row>
    <row r="9" spans="1:14" ht="30.75" thickBot="1">
      <c r="A9" s="775"/>
      <c r="B9" s="790" t="s">
        <v>446</v>
      </c>
      <c r="C9" s="790"/>
      <c r="D9" s="790" t="str">
        <f>+CONCATENATE(LEFT(Z_ÖSSZEFÜGGÉSEK!A6,4),". előtt")</f>
        <v>2019. előtt</v>
      </c>
      <c r="E9" s="790"/>
      <c r="F9" s="794" t="str">
        <f>+CONCATENATE(LEFT(Z_ÖSSZEFÜGGÉSEK!A6,4),". XII.31.")</f>
        <v>2019. XII.31.</v>
      </c>
      <c r="G9" s="794"/>
      <c r="H9" s="786" t="str">
        <f>+CONCATENATE(LEFT(Z_ÖSSZEFÜGGÉSEK!A6,4),". után")</f>
        <v>2019. után</v>
      </c>
      <c r="I9" s="786"/>
      <c r="J9" s="362" t="str">
        <f>+D9</f>
        <v>2019. előtt</v>
      </c>
      <c r="K9" s="361" t="str">
        <f>+F9</f>
        <v>2019. XII.31.</v>
      </c>
      <c r="L9" s="274" t="s">
        <v>37</v>
      </c>
      <c r="M9" s="361" t="str">
        <f>+CONCATENATE("Teljesítés %-a ",LEFT(Z_ÖSSZEFÜGGÉSEK!A6,4),". XII. 31-ig")</f>
        <v>Teljesítés %-a 2019. XII. 31-ig</v>
      </c>
      <c r="N9" s="771"/>
    </row>
    <row r="10" spans="1:14" ht="13.5" thickBot="1">
      <c r="A10" s="276" t="s">
        <v>381</v>
      </c>
      <c r="B10" s="274" t="s">
        <v>382</v>
      </c>
      <c r="C10" s="274" t="s">
        <v>383</v>
      </c>
      <c r="D10" s="277" t="s">
        <v>385</v>
      </c>
      <c r="E10" s="275" t="s">
        <v>384</v>
      </c>
      <c r="F10" s="275" t="s">
        <v>386</v>
      </c>
      <c r="G10" s="275" t="s">
        <v>387</v>
      </c>
      <c r="H10" s="274" t="s">
        <v>388</v>
      </c>
      <c r="I10" s="277" t="s">
        <v>419</v>
      </c>
      <c r="J10" s="277" t="s">
        <v>447</v>
      </c>
      <c r="K10" s="277" t="s">
        <v>448</v>
      </c>
      <c r="L10" s="277" t="s">
        <v>449</v>
      </c>
      <c r="M10" s="278" t="s">
        <v>450</v>
      </c>
      <c r="N10" s="771"/>
    </row>
    <row r="11" spans="1:14" ht="12.75">
      <c r="A11" s="279" t="s">
        <v>85</v>
      </c>
      <c r="B11" s="324"/>
      <c r="C11" s="325"/>
      <c r="D11" s="325"/>
      <c r="E11" s="326"/>
      <c r="F11" s="325"/>
      <c r="G11" s="325"/>
      <c r="H11" s="325">
        <v>600000</v>
      </c>
      <c r="I11" s="325">
        <v>600000</v>
      </c>
      <c r="J11" s="325"/>
      <c r="K11" s="325"/>
      <c r="L11" s="327">
        <f aca="true" t="shared" si="0" ref="L11:L17">+J11+K11</f>
        <v>0</v>
      </c>
      <c r="M11" s="328">
        <f>IF((C11&lt;&gt;0),ROUND((L11/C11)*100,1),"")</f>
      </c>
      <c r="N11" s="771"/>
    </row>
    <row r="12" spans="1:14" ht="12.75">
      <c r="A12" s="281" t="s">
        <v>94</v>
      </c>
      <c r="B12" s="329"/>
      <c r="C12" s="330"/>
      <c r="D12" s="330"/>
      <c r="E12" s="330"/>
      <c r="F12" s="330"/>
      <c r="G12" s="330"/>
      <c r="H12" s="330"/>
      <c r="I12" s="330"/>
      <c r="J12" s="330"/>
      <c r="K12" s="330"/>
      <c r="L12" s="331">
        <f t="shared" si="0"/>
        <v>0</v>
      </c>
      <c r="M12" s="332">
        <f aca="true" t="shared" si="1" ref="M12:M17">IF((C12&lt;&gt;0),ROUND((L12/C12)*100,1),"")</f>
      </c>
      <c r="N12" s="771"/>
    </row>
    <row r="13" spans="1:14" ht="12.75">
      <c r="A13" s="282" t="s">
        <v>86</v>
      </c>
      <c r="B13" s="333">
        <v>145309282</v>
      </c>
      <c r="C13" s="340">
        <v>145309282</v>
      </c>
      <c r="D13" s="334">
        <v>0</v>
      </c>
      <c r="E13" s="334">
        <v>36327320</v>
      </c>
      <c r="F13" s="334">
        <v>145309282</v>
      </c>
      <c r="G13" s="334">
        <v>108981962</v>
      </c>
      <c r="H13" s="334">
        <v>0</v>
      </c>
      <c r="I13" s="334">
        <v>0</v>
      </c>
      <c r="J13" s="334">
        <v>36327320</v>
      </c>
      <c r="K13" s="334">
        <v>108981962</v>
      </c>
      <c r="L13" s="331">
        <f t="shared" si="0"/>
        <v>145309282</v>
      </c>
      <c r="M13" s="332">
        <f t="shared" si="1"/>
        <v>100</v>
      </c>
      <c r="N13" s="771"/>
    </row>
    <row r="14" spans="1:14" ht="12.75">
      <c r="A14" s="282" t="s">
        <v>95</v>
      </c>
      <c r="B14" s="333"/>
      <c r="C14" s="334"/>
      <c r="D14" s="334"/>
      <c r="E14" s="334"/>
      <c r="F14" s="334"/>
      <c r="G14" s="334"/>
      <c r="H14" s="334"/>
      <c r="I14" s="334"/>
      <c r="J14" s="334"/>
      <c r="K14" s="334"/>
      <c r="L14" s="331">
        <f t="shared" si="0"/>
        <v>0</v>
      </c>
      <c r="M14" s="332">
        <f t="shared" si="1"/>
      </c>
      <c r="N14" s="771"/>
    </row>
    <row r="15" spans="1:14" ht="12.75">
      <c r="A15" s="282" t="s">
        <v>87</v>
      </c>
      <c r="B15" s="333"/>
      <c r="C15" s="334"/>
      <c r="D15" s="334"/>
      <c r="E15" s="334"/>
      <c r="F15" s="334"/>
      <c r="G15" s="334"/>
      <c r="H15" s="334"/>
      <c r="I15" s="334"/>
      <c r="J15" s="334"/>
      <c r="K15" s="334"/>
      <c r="L15" s="331">
        <f t="shared" si="0"/>
        <v>0</v>
      </c>
      <c r="M15" s="332">
        <f t="shared" si="1"/>
      </c>
      <c r="N15" s="771"/>
    </row>
    <row r="16" spans="1:14" ht="12.75">
      <c r="A16" s="282" t="s">
        <v>88</v>
      </c>
      <c r="B16" s="333"/>
      <c r="C16" s="334"/>
      <c r="D16" s="334"/>
      <c r="E16" s="334"/>
      <c r="F16" s="334"/>
      <c r="G16" s="334"/>
      <c r="H16" s="334"/>
      <c r="I16" s="334"/>
      <c r="J16" s="334"/>
      <c r="K16" s="334"/>
      <c r="L16" s="331">
        <f t="shared" si="0"/>
        <v>0</v>
      </c>
      <c r="M16" s="332">
        <f t="shared" si="1"/>
      </c>
      <c r="N16" s="771"/>
    </row>
    <row r="17" spans="1:14" ht="15" customHeight="1" thickBot="1">
      <c r="A17" s="283"/>
      <c r="B17" s="335"/>
      <c r="C17" s="336"/>
      <c r="D17" s="336"/>
      <c r="E17" s="336"/>
      <c r="F17" s="336"/>
      <c r="G17" s="336"/>
      <c r="H17" s="336"/>
      <c r="I17" s="336"/>
      <c r="J17" s="336"/>
      <c r="K17" s="336"/>
      <c r="L17" s="331">
        <f t="shared" si="0"/>
        <v>0</v>
      </c>
      <c r="M17" s="337">
        <f t="shared" si="1"/>
      </c>
      <c r="N17" s="771"/>
    </row>
    <row r="18" spans="1:14" ht="13.5" thickBot="1">
      <c r="A18" s="285" t="s">
        <v>90</v>
      </c>
      <c r="B18" s="338">
        <f>B11+SUM(B13:B17)</f>
        <v>145309282</v>
      </c>
      <c r="C18" s="338">
        <f aca="true" t="shared" si="2" ref="C18:L18">C11+SUM(C13:C17)</f>
        <v>145309282</v>
      </c>
      <c r="D18" s="338">
        <f t="shared" si="2"/>
        <v>0</v>
      </c>
      <c r="E18" s="338">
        <f t="shared" si="2"/>
        <v>36327320</v>
      </c>
      <c r="F18" s="338">
        <f t="shared" si="2"/>
        <v>145309282</v>
      </c>
      <c r="G18" s="338">
        <f t="shared" si="2"/>
        <v>108981962</v>
      </c>
      <c r="H18" s="338">
        <f t="shared" si="2"/>
        <v>600000</v>
      </c>
      <c r="I18" s="338">
        <f t="shared" si="2"/>
        <v>600000</v>
      </c>
      <c r="J18" s="338">
        <f t="shared" si="2"/>
        <v>36327320</v>
      </c>
      <c r="K18" s="338">
        <f t="shared" si="2"/>
        <v>108981962</v>
      </c>
      <c r="L18" s="338">
        <f t="shared" si="2"/>
        <v>145309282</v>
      </c>
      <c r="M18" s="339">
        <f>IF((C18&lt;&gt;0),ROUND((L18/C18)*100,1),"")</f>
        <v>100</v>
      </c>
      <c r="N18" s="771"/>
    </row>
    <row r="19" spans="1:14" ht="12.75">
      <c r="A19" s="286"/>
      <c r="B19" s="287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771"/>
    </row>
    <row r="20" spans="1:14" ht="13.5" thickBot="1">
      <c r="A20" s="289" t="s">
        <v>89</v>
      </c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771"/>
    </row>
    <row r="21" spans="1:14" ht="13.5" thickBot="1">
      <c r="A21" s="292" t="s">
        <v>93</v>
      </c>
      <c r="B21" s="341"/>
      <c r="C21" s="342"/>
      <c r="D21" s="342"/>
      <c r="E21" s="343">
        <v>1250000</v>
      </c>
      <c r="F21" s="342">
        <v>1678870</v>
      </c>
      <c r="G21" s="342">
        <v>2400000</v>
      </c>
      <c r="H21" s="342">
        <v>510638</v>
      </c>
      <c r="I21" s="342"/>
      <c r="J21" s="342">
        <v>1250000</v>
      </c>
      <c r="K21" s="342">
        <v>1800000</v>
      </c>
      <c r="L21" s="344">
        <f>+J21+K21</f>
        <v>3050000</v>
      </c>
      <c r="M21" s="345">
        <f aca="true" t="shared" si="3" ref="M21:M26">IF((C21&lt;&gt;0),ROUND((L21/C21)*100,1),"")</f>
      </c>
      <c r="N21" s="771"/>
    </row>
    <row r="22" spans="1:14" ht="12.75">
      <c r="A22" s="292" t="s">
        <v>861</v>
      </c>
      <c r="B22" s="684"/>
      <c r="C22" s="685"/>
      <c r="D22" s="685"/>
      <c r="E22" s="686">
        <v>243750</v>
      </c>
      <c r="F22" s="685">
        <v>327380</v>
      </c>
      <c r="G22" s="685">
        <v>432380</v>
      </c>
      <c r="H22" s="685">
        <v>89362</v>
      </c>
      <c r="I22" s="685"/>
      <c r="J22" s="685">
        <v>219375</v>
      </c>
      <c r="K22" s="685">
        <v>308701</v>
      </c>
      <c r="L22" s="344">
        <f>+J22+K22</f>
        <v>528076</v>
      </c>
      <c r="M22" s="687"/>
      <c r="N22" s="771"/>
    </row>
    <row r="23" spans="1:14" ht="12.75">
      <c r="A23" s="293" t="s">
        <v>862</v>
      </c>
      <c r="B23" s="348"/>
      <c r="C23" s="340"/>
      <c r="D23" s="340"/>
      <c r="E23" s="340">
        <v>11510341</v>
      </c>
      <c r="F23" s="340">
        <v>17818892</v>
      </c>
      <c r="G23" s="340">
        <v>18123692</v>
      </c>
      <c r="H23" s="340">
        <v>2426960</v>
      </c>
      <c r="I23" s="340"/>
      <c r="J23" s="340">
        <v>9194400</v>
      </c>
      <c r="K23" s="340">
        <v>16304950</v>
      </c>
      <c r="L23" s="346">
        <f>+J23+K23</f>
        <v>25499350</v>
      </c>
      <c r="M23" s="347">
        <f t="shared" si="3"/>
      </c>
      <c r="N23" s="771"/>
    </row>
    <row r="24" spans="1:14" ht="12.75">
      <c r="A24" s="293" t="s">
        <v>138</v>
      </c>
      <c r="B24" s="348"/>
      <c r="C24" s="340"/>
      <c r="D24" s="340"/>
      <c r="E24" s="340">
        <v>46041365</v>
      </c>
      <c r="F24" s="340">
        <v>68814684</v>
      </c>
      <c r="G24" s="340">
        <v>69688754</v>
      </c>
      <c r="H24" s="340">
        <v>23325087</v>
      </c>
      <c r="I24" s="340"/>
      <c r="J24" s="340">
        <v>44436177</v>
      </c>
      <c r="K24" s="340">
        <v>45463345</v>
      </c>
      <c r="L24" s="346">
        <f>+J24+K24</f>
        <v>89899522</v>
      </c>
      <c r="M24" s="347">
        <f t="shared" si="3"/>
      </c>
      <c r="N24" s="771"/>
    </row>
    <row r="25" spans="1:14" ht="13.5" thickBot="1">
      <c r="A25" s="294"/>
      <c r="B25" s="349"/>
      <c r="C25" s="350"/>
      <c r="D25" s="350"/>
      <c r="E25" s="350"/>
      <c r="F25" s="350"/>
      <c r="G25" s="350"/>
      <c r="H25" s="350"/>
      <c r="I25" s="350"/>
      <c r="J25" s="350"/>
      <c r="K25" s="350"/>
      <c r="L25" s="346">
        <f>+J25+K25</f>
        <v>0</v>
      </c>
      <c r="M25" s="351">
        <f t="shared" si="3"/>
      </c>
      <c r="N25" s="771"/>
    </row>
    <row r="26" spans="1:14" ht="13.5" thickBot="1">
      <c r="A26" s="295" t="s">
        <v>75</v>
      </c>
      <c r="B26" s="352">
        <f aca="true" t="shared" si="4" ref="B26:L26">SUM(B21:B25)</f>
        <v>0</v>
      </c>
      <c r="C26" s="352">
        <f t="shared" si="4"/>
        <v>0</v>
      </c>
      <c r="D26" s="352">
        <f t="shared" si="4"/>
        <v>0</v>
      </c>
      <c r="E26" s="352">
        <f t="shared" si="4"/>
        <v>59045456</v>
      </c>
      <c r="F26" s="352">
        <f t="shared" si="4"/>
        <v>88639826</v>
      </c>
      <c r="G26" s="352">
        <f t="shared" si="4"/>
        <v>90644826</v>
      </c>
      <c r="H26" s="352">
        <f t="shared" si="4"/>
        <v>26352047</v>
      </c>
      <c r="I26" s="352">
        <f t="shared" si="4"/>
        <v>0</v>
      </c>
      <c r="J26" s="352">
        <f t="shared" si="4"/>
        <v>55099952</v>
      </c>
      <c r="K26" s="352">
        <f t="shared" si="4"/>
        <v>63876996</v>
      </c>
      <c r="L26" s="352">
        <f t="shared" si="4"/>
        <v>118976948</v>
      </c>
      <c r="M26" s="353">
        <f t="shared" si="3"/>
      </c>
      <c r="N26" s="771"/>
    </row>
    <row r="27" spans="1:14" ht="12.75">
      <c r="A27" s="791" t="s">
        <v>519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71"/>
    </row>
    <row r="28" spans="1:14" ht="5.25" customHeight="1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771"/>
    </row>
    <row r="29" spans="1:14" ht="1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2019.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71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71"/>
    </row>
    <row r="31" spans="1:14" ht="13.5" thickBot="1">
      <c r="A31" s="784" t="s">
        <v>91</v>
      </c>
      <c r="B31" s="785"/>
      <c r="C31" s="785"/>
      <c r="D31" s="785"/>
      <c r="E31" s="785"/>
      <c r="F31" s="785"/>
      <c r="G31" s="785"/>
      <c r="H31" s="785"/>
      <c r="I31" s="785"/>
      <c r="J31" s="785"/>
      <c r="K31" s="297" t="s">
        <v>451</v>
      </c>
      <c r="L31" s="297" t="s">
        <v>452</v>
      </c>
      <c r="M31" s="297" t="s">
        <v>442</v>
      </c>
      <c r="N31" s="771"/>
    </row>
    <row r="32" spans="1:14" ht="12.75">
      <c r="A32" s="787"/>
      <c r="B32" s="788"/>
      <c r="C32" s="788"/>
      <c r="D32" s="788"/>
      <c r="E32" s="788"/>
      <c r="F32" s="788"/>
      <c r="G32" s="788"/>
      <c r="H32" s="788"/>
      <c r="I32" s="788"/>
      <c r="J32" s="788"/>
      <c r="K32" s="280"/>
      <c r="L32" s="298"/>
      <c r="M32" s="298"/>
      <c r="N32" s="771"/>
    </row>
    <row r="33" spans="1:14" ht="13.5" thickBot="1">
      <c r="A33" s="781"/>
      <c r="B33" s="782"/>
      <c r="C33" s="782"/>
      <c r="D33" s="782"/>
      <c r="E33" s="782"/>
      <c r="F33" s="782"/>
      <c r="G33" s="782"/>
      <c r="H33" s="782"/>
      <c r="I33" s="782"/>
      <c r="J33" s="782"/>
      <c r="K33" s="299"/>
      <c r="L33" s="284"/>
      <c r="M33" s="284"/>
      <c r="N33" s="771"/>
    </row>
    <row r="34" spans="1:14" ht="13.5" thickBot="1">
      <c r="A34" s="779" t="s">
        <v>518</v>
      </c>
      <c r="B34" s="780"/>
      <c r="C34" s="780"/>
      <c r="D34" s="780"/>
      <c r="E34" s="780"/>
      <c r="F34" s="780"/>
      <c r="G34" s="780"/>
      <c r="H34" s="780"/>
      <c r="I34" s="780"/>
      <c r="J34" s="780"/>
      <c r="K34" s="300">
        <f>SUM(K32:K33)</f>
        <v>0</v>
      </c>
      <c r="L34" s="300">
        <f>SUM(L32:L33)</f>
        <v>0</v>
      </c>
      <c r="M34" s="300">
        <f>SUM(M32:M33)</f>
        <v>0</v>
      </c>
      <c r="N34" s="771"/>
    </row>
    <row r="35" ht="12.75">
      <c r="N35" s="771"/>
    </row>
    <row r="50" ht="12.75">
      <c r="A50" s="32"/>
    </row>
  </sheetData>
  <sheetProtection/>
  <mergeCells count="24">
    <mergeCell ref="A4:C4"/>
    <mergeCell ref="B7:B8"/>
    <mergeCell ref="B9:C9"/>
    <mergeCell ref="A1:M1"/>
    <mergeCell ref="A2:M2"/>
    <mergeCell ref="A3:M3"/>
    <mergeCell ref="A32:J32"/>
    <mergeCell ref="D7:I7"/>
    <mergeCell ref="D9:E9"/>
    <mergeCell ref="A27:M27"/>
    <mergeCell ref="C7:C8"/>
    <mergeCell ref="L30:M30"/>
    <mergeCell ref="A29:M29"/>
    <mergeCell ref="F9:G9"/>
    <mergeCell ref="N4:N35"/>
    <mergeCell ref="L5:M5"/>
    <mergeCell ref="A6:A9"/>
    <mergeCell ref="B6:I6"/>
    <mergeCell ref="J6:M8"/>
    <mergeCell ref="A34:J34"/>
    <mergeCell ref="A33:J33"/>
    <mergeCell ref="D4:M4"/>
    <mergeCell ref="A31:J31"/>
    <mergeCell ref="H9:I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89">
      <selection activeCell="E143" sqref="E143"/>
    </sheetView>
  </sheetViews>
  <sheetFormatPr defaultColWidth="9.375" defaultRowHeight="12.75"/>
  <cols>
    <col min="1" max="1" width="16.125" style="150" customWidth="1"/>
    <col min="2" max="2" width="63.75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4"/>
      <c r="B1" s="803" t="str">
        <f>CONCATENATE("6.1. melléklet ",Z_ALAPADATOK!A7," ",Z_ALAPADATOK!B7," ",Z_ALAPADATOK!C7," ",Z_ALAPADATOK!D7," ",Z_ALAPADATOK!E7," ",Z_ALAPADATOK!F7," ",Z_ALAPADATOK!G7," ",Z_ALAPADATOK!H7)</f>
        <v>6.1. melléklet a … / 2020. ( … ) önkormányzati rendelethez</v>
      </c>
      <c r="C1" s="804"/>
      <c r="D1" s="804"/>
      <c r="E1" s="804"/>
    </row>
    <row r="2" spans="1:5" s="49" customFormat="1" ht="21" customHeight="1" thickBot="1">
      <c r="A2" s="383" t="s">
        <v>45</v>
      </c>
      <c r="B2" s="802" t="str">
        <f>CONCATENATE(Z_ALAPADATOK!A3)</f>
        <v>Balatonvilágos Község Önkormányzata</v>
      </c>
      <c r="C2" s="802"/>
      <c r="D2" s="802"/>
      <c r="E2" s="384" t="s">
        <v>39</v>
      </c>
    </row>
    <row r="3" spans="1:5" s="49" customFormat="1" ht="23.25" thickBot="1">
      <c r="A3" s="383" t="s">
        <v>134</v>
      </c>
      <c r="B3" s="802" t="s">
        <v>299</v>
      </c>
      <c r="C3" s="802"/>
      <c r="D3" s="802"/>
      <c r="E3" s="385" t="s">
        <v>39</v>
      </c>
    </row>
    <row r="4" spans="1:5" s="50" customFormat="1" ht="15.75" customHeight="1" thickBot="1">
      <c r="A4" s="377"/>
      <c r="B4" s="377"/>
      <c r="C4" s="378"/>
      <c r="D4" s="379"/>
      <c r="E4" s="388" t="str">
        <f>'Z_4.sz.mell.'!G4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+CONCATENATE("Teljesítés",CHAR(10),LEFT(Z_ÖSSZEFÜGGÉSEK!A6,4),". XII. 31.")</f>
        <v>Teljesítés
2019. XII. 31.</v>
      </c>
    </row>
    <row r="6" spans="1:5" s="45" customFormat="1" ht="12.75" customHeight="1" thickBot="1">
      <c r="A6" s="72" t="s">
        <v>381</v>
      </c>
      <c r="B6" s="73" t="s">
        <v>382</v>
      </c>
      <c r="C6" s="73" t="s">
        <v>383</v>
      </c>
      <c r="D6" s="301" t="s">
        <v>385</v>
      </c>
      <c r="E6" s="74" t="s">
        <v>384</v>
      </c>
    </row>
    <row r="7" spans="1:5" s="45" customFormat="1" ht="15.75" customHeight="1" thickBot="1">
      <c r="A7" s="799" t="s">
        <v>40</v>
      </c>
      <c r="B7" s="800"/>
      <c r="C7" s="800"/>
      <c r="D7" s="800"/>
      <c r="E7" s="801"/>
    </row>
    <row r="8" spans="1:5" s="45" customFormat="1" ht="12" customHeight="1" thickBot="1">
      <c r="A8" s="25" t="s">
        <v>6</v>
      </c>
      <c r="B8" s="19" t="s">
        <v>156</v>
      </c>
      <c r="C8" s="157">
        <f>+C9+C10+C11+C12+C13+C14</f>
        <v>114843006</v>
      </c>
      <c r="D8" s="241">
        <f>+D9+D10+D11+D12+D13+D14</f>
        <v>123109630</v>
      </c>
      <c r="E8" s="241">
        <f>+E9+E10+E11+E12+E13+E14</f>
        <v>123109630</v>
      </c>
    </row>
    <row r="9" spans="1:5" s="51" customFormat="1" ht="12" customHeight="1">
      <c r="A9" s="187" t="s">
        <v>64</v>
      </c>
      <c r="B9" s="170" t="s">
        <v>157</v>
      </c>
      <c r="C9" s="159">
        <v>40818439</v>
      </c>
      <c r="D9" s="242">
        <v>42128995</v>
      </c>
      <c r="E9" s="95">
        <v>42128995</v>
      </c>
    </row>
    <row r="10" spans="1:5" s="52" customFormat="1" ht="12" customHeight="1">
      <c r="A10" s="188" t="s">
        <v>65</v>
      </c>
      <c r="B10" s="171" t="s">
        <v>158</v>
      </c>
      <c r="C10" s="158">
        <v>36859717</v>
      </c>
      <c r="D10" s="243">
        <v>38563100</v>
      </c>
      <c r="E10" s="94">
        <v>38563100</v>
      </c>
    </row>
    <row r="11" spans="1:5" s="52" customFormat="1" ht="12" customHeight="1">
      <c r="A11" s="188" t="s">
        <v>66</v>
      </c>
      <c r="B11" s="171" t="s">
        <v>159</v>
      </c>
      <c r="C11" s="158">
        <v>35364850</v>
      </c>
      <c r="D11" s="243">
        <v>28917785</v>
      </c>
      <c r="E11" s="94">
        <v>28917785</v>
      </c>
    </row>
    <row r="12" spans="1:5" s="52" customFormat="1" ht="12" customHeight="1">
      <c r="A12" s="188" t="s">
        <v>67</v>
      </c>
      <c r="B12" s="171" t="s">
        <v>160</v>
      </c>
      <c r="C12" s="158">
        <v>1800000</v>
      </c>
      <c r="D12" s="243">
        <v>1808000</v>
      </c>
      <c r="E12" s="94">
        <v>1808000</v>
      </c>
    </row>
    <row r="13" spans="1:5" s="52" customFormat="1" ht="12" customHeight="1">
      <c r="A13" s="188" t="s">
        <v>96</v>
      </c>
      <c r="B13" s="171" t="s">
        <v>389</v>
      </c>
      <c r="C13" s="158"/>
      <c r="D13" s="243">
        <v>11691750</v>
      </c>
      <c r="E13" s="94">
        <v>11691750</v>
      </c>
    </row>
    <row r="14" spans="1:5" s="51" customFormat="1" ht="12" customHeight="1" thickBot="1">
      <c r="A14" s="189" t="s">
        <v>68</v>
      </c>
      <c r="B14" s="172" t="s">
        <v>330</v>
      </c>
      <c r="C14" s="158"/>
      <c r="D14" s="243"/>
      <c r="E14" s="94"/>
    </row>
    <row r="15" spans="1:5" s="51" customFormat="1" ht="12" customHeight="1" thickBot="1">
      <c r="A15" s="25" t="s">
        <v>7</v>
      </c>
      <c r="B15" s="100" t="s">
        <v>161</v>
      </c>
      <c r="C15" s="157">
        <f>+C16+C17+C18+C19+C20</f>
        <v>17284913</v>
      </c>
      <c r="D15" s="241">
        <f>+D16+D17+D18+D19+D20</f>
        <v>20516736</v>
      </c>
      <c r="E15" s="93">
        <f>+E16+E17+E18+E19+E20</f>
        <v>20516736</v>
      </c>
    </row>
    <row r="16" spans="1:5" s="51" customFormat="1" ht="12" customHeight="1">
      <c r="A16" s="187" t="s">
        <v>70</v>
      </c>
      <c r="B16" s="170" t="s">
        <v>162</v>
      </c>
      <c r="C16" s="159"/>
      <c r="D16" s="242"/>
      <c r="E16" s="95"/>
    </row>
    <row r="17" spans="1:5" s="51" customFormat="1" ht="12" customHeight="1">
      <c r="A17" s="188" t="s">
        <v>71</v>
      </c>
      <c r="B17" s="171" t="s">
        <v>163</v>
      </c>
      <c r="C17" s="158"/>
      <c r="D17" s="243"/>
      <c r="E17" s="94"/>
    </row>
    <row r="18" spans="1:5" s="51" customFormat="1" ht="12" customHeight="1">
      <c r="A18" s="188" t="s">
        <v>72</v>
      </c>
      <c r="B18" s="171" t="s">
        <v>321</v>
      </c>
      <c r="C18" s="158"/>
      <c r="D18" s="243"/>
      <c r="E18" s="94"/>
    </row>
    <row r="19" spans="1:5" s="51" customFormat="1" ht="12" customHeight="1">
      <c r="A19" s="188" t="s">
        <v>73</v>
      </c>
      <c r="B19" s="171" t="s">
        <v>322</v>
      </c>
      <c r="C19" s="158"/>
      <c r="D19" s="243"/>
      <c r="E19" s="94"/>
    </row>
    <row r="20" spans="1:5" s="51" customFormat="1" ht="12" customHeight="1">
      <c r="A20" s="188" t="s">
        <v>74</v>
      </c>
      <c r="B20" s="171" t="s">
        <v>164</v>
      </c>
      <c r="C20" s="158">
        <v>17284913</v>
      </c>
      <c r="D20" s="243">
        <v>20516736</v>
      </c>
      <c r="E20" s="94">
        <v>20516736</v>
      </c>
    </row>
    <row r="21" spans="1:5" s="52" customFormat="1" ht="12" customHeight="1" thickBot="1">
      <c r="A21" s="189" t="s">
        <v>81</v>
      </c>
      <c r="B21" s="172" t="s">
        <v>165</v>
      </c>
      <c r="C21" s="160"/>
      <c r="D21" s="244"/>
      <c r="E21" s="96"/>
    </row>
    <row r="22" spans="1:5" s="52" customFormat="1" ht="12" customHeight="1" thickBot="1">
      <c r="A22" s="25" t="s">
        <v>8</v>
      </c>
      <c r="B22" s="19" t="s">
        <v>166</v>
      </c>
      <c r="C22" s="157">
        <f>+C23+C24+C25+C26+C27</f>
        <v>145309282</v>
      </c>
      <c r="D22" s="241">
        <f>+D23+D24+D25+D26+D27</f>
        <v>108981962</v>
      </c>
      <c r="E22" s="93">
        <f>+E23+E24+E25+E26+E27</f>
        <v>112960973</v>
      </c>
    </row>
    <row r="23" spans="1:5" s="52" customFormat="1" ht="12" customHeight="1">
      <c r="A23" s="187" t="s">
        <v>53</v>
      </c>
      <c r="B23" s="170" t="s">
        <v>167</v>
      </c>
      <c r="C23" s="159">
        <v>145309282</v>
      </c>
      <c r="D23" s="242">
        <v>108981962</v>
      </c>
      <c r="E23" s="95">
        <v>112960973</v>
      </c>
    </row>
    <row r="24" spans="1:5" s="51" customFormat="1" ht="12" customHeight="1">
      <c r="A24" s="188" t="s">
        <v>54</v>
      </c>
      <c r="B24" s="171" t="s">
        <v>168</v>
      </c>
      <c r="C24" s="158"/>
      <c r="D24" s="243"/>
      <c r="E24" s="94"/>
    </row>
    <row r="25" spans="1:5" s="52" customFormat="1" ht="12" customHeight="1">
      <c r="A25" s="188" t="s">
        <v>55</v>
      </c>
      <c r="B25" s="171" t="s">
        <v>323</v>
      </c>
      <c r="C25" s="158"/>
      <c r="D25" s="243"/>
      <c r="E25" s="94"/>
    </row>
    <row r="26" spans="1:5" s="52" customFormat="1" ht="12" customHeight="1">
      <c r="A26" s="188" t="s">
        <v>56</v>
      </c>
      <c r="B26" s="171" t="s">
        <v>324</v>
      </c>
      <c r="C26" s="158"/>
      <c r="D26" s="243"/>
      <c r="E26" s="94"/>
    </row>
    <row r="27" spans="1:5" s="52" customFormat="1" ht="12" customHeight="1">
      <c r="A27" s="188" t="s">
        <v>109</v>
      </c>
      <c r="B27" s="171" t="s">
        <v>169</v>
      </c>
      <c r="C27" s="158"/>
      <c r="D27" s="243"/>
      <c r="E27" s="94"/>
    </row>
    <row r="28" spans="1:5" s="52" customFormat="1" ht="12" customHeight="1" thickBot="1">
      <c r="A28" s="189" t="s">
        <v>110</v>
      </c>
      <c r="B28" s="172" t="s">
        <v>170</v>
      </c>
      <c r="C28" s="160"/>
      <c r="D28" s="244"/>
      <c r="E28" s="96"/>
    </row>
    <row r="29" spans="1:5" s="52" customFormat="1" ht="12" customHeight="1" thickBot="1">
      <c r="A29" s="25" t="s">
        <v>111</v>
      </c>
      <c r="B29" s="19" t="s">
        <v>480</v>
      </c>
      <c r="C29" s="163">
        <f>SUM(C30:C36)</f>
        <v>197329000</v>
      </c>
      <c r="D29" s="163">
        <f>SUM(D30:D36)</f>
        <v>222693906</v>
      </c>
      <c r="E29" s="199">
        <f>SUM(E30:E36)</f>
        <v>221476906</v>
      </c>
    </row>
    <row r="30" spans="1:5" s="52" customFormat="1" ht="12" customHeight="1">
      <c r="A30" s="187" t="s">
        <v>171</v>
      </c>
      <c r="B30" s="170" t="s">
        <v>481</v>
      </c>
      <c r="C30" s="159">
        <v>138679000</v>
      </c>
      <c r="D30" s="159">
        <v>145140467</v>
      </c>
      <c r="E30" s="95">
        <v>145140467</v>
      </c>
    </row>
    <row r="31" spans="1:5" s="52" customFormat="1" ht="12" customHeight="1">
      <c r="A31" s="188" t="s">
        <v>172</v>
      </c>
      <c r="B31" s="171" t="s">
        <v>482</v>
      </c>
      <c r="C31" s="158">
        <v>19000000</v>
      </c>
      <c r="D31" s="158">
        <v>19000000</v>
      </c>
      <c r="E31" s="94">
        <v>17692000</v>
      </c>
    </row>
    <row r="32" spans="1:5" s="52" customFormat="1" ht="12" customHeight="1">
      <c r="A32" s="188" t="s">
        <v>173</v>
      </c>
      <c r="B32" s="171" t="s">
        <v>483</v>
      </c>
      <c r="C32" s="158">
        <v>35000000</v>
      </c>
      <c r="D32" s="158">
        <v>51045335</v>
      </c>
      <c r="E32" s="94">
        <v>51045335</v>
      </c>
    </row>
    <row r="33" spans="1:5" s="52" customFormat="1" ht="12" customHeight="1">
      <c r="A33" s="188" t="s">
        <v>174</v>
      </c>
      <c r="B33" s="171" t="s">
        <v>484</v>
      </c>
      <c r="C33" s="158"/>
      <c r="D33" s="158"/>
      <c r="E33" s="94"/>
    </row>
    <row r="34" spans="1:5" s="52" customFormat="1" ht="12" customHeight="1">
      <c r="A34" s="188" t="s">
        <v>485</v>
      </c>
      <c r="B34" s="171" t="s">
        <v>175</v>
      </c>
      <c r="C34" s="158">
        <v>4000000</v>
      </c>
      <c r="D34" s="158">
        <v>5897111</v>
      </c>
      <c r="E34" s="94">
        <v>5897111</v>
      </c>
    </row>
    <row r="35" spans="1:5" s="52" customFormat="1" ht="12" customHeight="1">
      <c r="A35" s="188" t="s">
        <v>486</v>
      </c>
      <c r="B35" s="171" t="s">
        <v>176</v>
      </c>
      <c r="C35" s="158"/>
      <c r="D35" s="158"/>
      <c r="E35" s="94"/>
    </row>
    <row r="36" spans="1:5" s="52" customFormat="1" ht="12" customHeight="1" thickBot="1">
      <c r="A36" s="189" t="s">
        <v>487</v>
      </c>
      <c r="B36" s="317" t="s">
        <v>177</v>
      </c>
      <c r="C36" s="160">
        <v>650000</v>
      </c>
      <c r="D36" s="160">
        <v>1610993</v>
      </c>
      <c r="E36" s="96">
        <v>1701993</v>
      </c>
    </row>
    <row r="37" spans="1:5" s="52" customFormat="1" ht="12" customHeight="1" thickBot="1">
      <c r="A37" s="25" t="s">
        <v>10</v>
      </c>
      <c r="B37" s="19" t="s">
        <v>331</v>
      </c>
      <c r="C37" s="157">
        <f>SUM(C39:C48)</f>
        <v>12050498</v>
      </c>
      <c r="D37" s="241">
        <f>SUM(D38:D48)</f>
        <v>17093255</v>
      </c>
      <c r="E37" s="93">
        <f>SUM(E38:E48)</f>
        <v>16877298</v>
      </c>
    </row>
    <row r="38" spans="1:5" s="52" customFormat="1" ht="12" customHeight="1">
      <c r="A38" s="187" t="s">
        <v>57</v>
      </c>
      <c r="B38" s="170" t="s">
        <v>180</v>
      </c>
      <c r="D38" s="242"/>
      <c r="E38" s="95"/>
    </row>
    <row r="39" spans="1:5" s="52" customFormat="1" ht="12" customHeight="1">
      <c r="A39" s="188" t="s">
        <v>58</v>
      </c>
      <c r="B39" s="171" t="s">
        <v>181</v>
      </c>
      <c r="C39" s="159">
        <v>2593680</v>
      </c>
      <c r="D39" s="243">
        <v>2593680</v>
      </c>
      <c r="E39" s="94">
        <v>2515956</v>
      </c>
    </row>
    <row r="40" spans="1:5" s="52" customFormat="1" ht="12" customHeight="1">
      <c r="A40" s="188" t="s">
        <v>59</v>
      </c>
      <c r="B40" s="171" t="s">
        <v>182</v>
      </c>
      <c r="C40" s="158">
        <v>2702684</v>
      </c>
      <c r="D40" s="243">
        <v>2702684</v>
      </c>
      <c r="E40" s="94">
        <v>2617742</v>
      </c>
    </row>
    <row r="41" spans="1:5" s="52" customFormat="1" ht="12" customHeight="1">
      <c r="A41" s="188" t="s">
        <v>113</v>
      </c>
      <c r="B41" s="171" t="s">
        <v>183</v>
      </c>
      <c r="C41" s="158">
        <v>1656921</v>
      </c>
      <c r="D41" s="243">
        <v>3726743</v>
      </c>
      <c r="E41" s="94">
        <v>3726743</v>
      </c>
    </row>
    <row r="42" spans="1:5" s="52" customFormat="1" ht="12" customHeight="1">
      <c r="A42" s="188" t="s">
        <v>114</v>
      </c>
      <c r="B42" s="171" t="s">
        <v>184</v>
      </c>
      <c r="C42" s="158"/>
      <c r="D42" s="243"/>
      <c r="E42" s="94"/>
    </row>
    <row r="43" spans="1:5" s="52" customFormat="1" ht="12" customHeight="1">
      <c r="A43" s="188" t="s">
        <v>115</v>
      </c>
      <c r="B43" s="171" t="s">
        <v>185</v>
      </c>
      <c r="C43" s="158">
        <v>5047213</v>
      </c>
      <c r="D43" s="243">
        <v>5700807</v>
      </c>
      <c r="E43" s="94">
        <v>5666898</v>
      </c>
    </row>
    <row r="44" spans="1:5" s="52" customFormat="1" ht="12" customHeight="1">
      <c r="A44" s="188" t="s">
        <v>116</v>
      </c>
      <c r="B44" s="171" t="s">
        <v>186</v>
      </c>
      <c r="C44" s="158"/>
      <c r="D44" s="243"/>
      <c r="E44" s="94"/>
    </row>
    <row r="45" spans="1:5" s="52" customFormat="1" ht="12" customHeight="1">
      <c r="A45" s="188" t="s">
        <v>117</v>
      </c>
      <c r="B45" s="171" t="s">
        <v>488</v>
      </c>
      <c r="C45" s="158">
        <v>0</v>
      </c>
      <c r="D45" s="243">
        <v>50000</v>
      </c>
      <c r="E45" s="94">
        <v>171</v>
      </c>
    </row>
    <row r="46" spans="1:5" s="52" customFormat="1" ht="12" customHeight="1">
      <c r="A46" s="188" t="s">
        <v>178</v>
      </c>
      <c r="B46" s="171" t="s">
        <v>188</v>
      </c>
      <c r="C46" s="158">
        <v>50000</v>
      </c>
      <c r="D46" s="302">
        <v>4669</v>
      </c>
      <c r="E46" s="97">
        <v>5399</v>
      </c>
    </row>
    <row r="47" spans="1:5" s="52" customFormat="1" ht="12" customHeight="1">
      <c r="A47" s="189" t="s">
        <v>179</v>
      </c>
      <c r="B47" s="172" t="s">
        <v>333</v>
      </c>
      <c r="C47" s="162"/>
      <c r="D47" s="303"/>
      <c r="E47" s="98"/>
    </row>
    <row r="48" spans="1:5" s="52" customFormat="1" ht="12" customHeight="1" thickBot="1">
      <c r="A48" s="189" t="s">
        <v>332</v>
      </c>
      <c r="B48" s="172" t="s">
        <v>189</v>
      </c>
      <c r="C48" s="162"/>
      <c r="D48" s="303">
        <v>2314672</v>
      </c>
      <c r="E48" s="98">
        <v>2344389</v>
      </c>
    </row>
    <row r="49" spans="1:5" s="52" customFormat="1" ht="12" customHeight="1" thickBot="1">
      <c r="A49" s="25" t="s">
        <v>11</v>
      </c>
      <c r="B49" s="19" t="s">
        <v>190</v>
      </c>
      <c r="C49" s="157">
        <f>SUM(C50:C54)</f>
        <v>11907010</v>
      </c>
      <c r="D49" s="241">
        <f>SUM(D50:D54)</f>
        <v>12314867</v>
      </c>
      <c r="E49" s="93">
        <f>SUM(E50:E54)</f>
        <v>12314867</v>
      </c>
    </row>
    <row r="50" spans="1:5" s="52" customFormat="1" ht="12" customHeight="1">
      <c r="A50" s="187" t="s">
        <v>60</v>
      </c>
      <c r="B50" s="170" t="s">
        <v>194</v>
      </c>
      <c r="C50" s="210"/>
      <c r="D50" s="304"/>
      <c r="E50" s="99"/>
    </row>
    <row r="51" spans="1:5" s="52" customFormat="1" ht="12" customHeight="1">
      <c r="A51" s="188" t="s">
        <v>61</v>
      </c>
      <c r="B51" s="171" t="s">
        <v>195</v>
      </c>
      <c r="C51" s="161">
        <v>11907010</v>
      </c>
      <c r="D51" s="302">
        <v>12300694</v>
      </c>
      <c r="E51" s="97">
        <v>12300694</v>
      </c>
    </row>
    <row r="52" spans="1:5" s="52" customFormat="1" ht="12" customHeight="1">
      <c r="A52" s="188" t="s">
        <v>191</v>
      </c>
      <c r="B52" s="171" t="s">
        <v>196</v>
      </c>
      <c r="C52" s="161"/>
      <c r="D52" s="302">
        <v>14173</v>
      </c>
      <c r="E52" s="97">
        <v>14173</v>
      </c>
    </row>
    <row r="53" spans="1:5" s="52" customFormat="1" ht="12" customHeight="1">
      <c r="A53" s="188" t="s">
        <v>192</v>
      </c>
      <c r="B53" s="171" t="s">
        <v>197</v>
      </c>
      <c r="C53" s="161"/>
      <c r="D53" s="302"/>
      <c r="E53" s="97"/>
    </row>
    <row r="54" spans="1:5" s="52" customFormat="1" ht="12" customHeight="1" thickBot="1">
      <c r="A54" s="189" t="s">
        <v>193</v>
      </c>
      <c r="B54" s="172" t="s">
        <v>198</v>
      </c>
      <c r="C54" s="162"/>
      <c r="D54" s="303"/>
      <c r="E54" s="98"/>
    </row>
    <row r="55" spans="1:5" s="52" customFormat="1" ht="12" customHeight="1" thickBot="1">
      <c r="A55" s="25" t="s">
        <v>118</v>
      </c>
      <c r="B55" s="19" t="s">
        <v>199</v>
      </c>
      <c r="C55" s="157">
        <f>SUM(C56:C58)</f>
        <v>982365</v>
      </c>
      <c r="D55" s="241">
        <f>SUM(D56:D58)</f>
        <v>243737</v>
      </c>
      <c r="E55" s="93">
        <f>SUM(E56:E58)</f>
        <v>243737</v>
      </c>
    </row>
    <row r="56" spans="1:5" s="52" customFormat="1" ht="12" customHeight="1">
      <c r="A56" s="187" t="s">
        <v>62</v>
      </c>
      <c r="B56" s="170" t="s">
        <v>200</v>
      </c>
      <c r="C56" s="159"/>
      <c r="D56" s="242"/>
      <c r="E56" s="95"/>
    </row>
    <row r="57" spans="1:5" s="52" customFormat="1" ht="12" customHeight="1">
      <c r="A57" s="188" t="s">
        <v>63</v>
      </c>
      <c r="B57" s="171" t="s">
        <v>325</v>
      </c>
      <c r="C57" s="158">
        <v>982365</v>
      </c>
      <c r="D57" s="243">
        <v>42000</v>
      </c>
      <c r="E57" s="94">
        <v>42000</v>
      </c>
    </row>
    <row r="58" spans="1:5" s="52" customFormat="1" ht="12" customHeight="1">
      <c r="A58" s="188" t="s">
        <v>203</v>
      </c>
      <c r="B58" s="171" t="s">
        <v>201</v>
      </c>
      <c r="C58" s="158"/>
      <c r="D58" s="243">
        <v>201737</v>
      </c>
      <c r="E58" s="94">
        <v>201737</v>
      </c>
    </row>
    <row r="59" spans="1:5" s="52" customFormat="1" ht="12" customHeight="1" thickBot="1">
      <c r="A59" s="189" t="s">
        <v>204</v>
      </c>
      <c r="B59" s="172" t="s">
        <v>202</v>
      </c>
      <c r="C59" s="160"/>
      <c r="D59" s="244"/>
      <c r="E59" s="96"/>
    </row>
    <row r="60" spans="1:5" s="52" customFormat="1" ht="12" customHeight="1" thickBot="1">
      <c r="A60" s="25" t="s">
        <v>13</v>
      </c>
      <c r="B60" s="100" t="s">
        <v>205</v>
      </c>
      <c r="C60" s="157">
        <f>SUM(C61:C63)</f>
        <v>0</v>
      </c>
      <c r="D60" s="241">
        <f>SUM(D61:D63)</f>
        <v>3906518</v>
      </c>
      <c r="E60" s="93">
        <f>SUM(E61:E63)</f>
        <v>3622195</v>
      </c>
    </row>
    <row r="61" spans="1:5" s="52" customFormat="1" ht="12" customHeight="1">
      <c r="A61" s="187" t="s">
        <v>119</v>
      </c>
      <c r="B61" s="170" t="s">
        <v>207</v>
      </c>
      <c r="C61" s="161"/>
      <c r="D61" s="302"/>
      <c r="E61" s="97"/>
    </row>
    <row r="62" spans="1:5" s="52" customFormat="1" ht="12" customHeight="1">
      <c r="A62" s="188" t="s">
        <v>120</v>
      </c>
      <c r="B62" s="171" t="s">
        <v>326</v>
      </c>
      <c r="C62" s="161"/>
      <c r="D62" s="302">
        <v>2056518</v>
      </c>
      <c r="E62" s="97">
        <v>2022195</v>
      </c>
    </row>
    <row r="63" spans="1:5" s="52" customFormat="1" ht="12" customHeight="1">
      <c r="A63" s="188" t="s">
        <v>139</v>
      </c>
      <c r="B63" s="171" t="s">
        <v>208</v>
      </c>
      <c r="C63" s="161"/>
      <c r="D63" s="302">
        <v>1850000</v>
      </c>
      <c r="E63" s="97">
        <v>1600000</v>
      </c>
    </row>
    <row r="64" spans="1:5" s="52" customFormat="1" ht="12" customHeight="1" thickBot="1">
      <c r="A64" s="189" t="s">
        <v>206</v>
      </c>
      <c r="B64" s="172" t="s">
        <v>209</v>
      </c>
      <c r="C64" s="161"/>
      <c r="D64" s="302"/>
      <c r="E64" s="97"/>
    </row>
    <row r="65" spans="1:5" s="52" customFormat="1" ht="12" customHeight="1" thickBot="1">
      <c r="A65" s="25" t="s">
        <v>14</v>
      </c>
      <c r="B65" s="19" t="s">
        <v>210</v>
      </c>
      <c r="C65" s="163">
        <f>+C8+C15+C22+C29+C37+C49+C55+C60</f>
        <v>499706074</v>
      </c>
      <c r="D65" s="245">
        <f>+D8+D15+D22+D29+D37+D49+D55+D60</f>
        <v>508860611</v>
      </c>
      <c r="E65" s="199">
        <f>+E8+E15+E22+E29+E37+E49+E55+E60</f>
        <v>511122342</v>
      </c>
    </row>
    <row r="66" spans="1:5" s="52" customFormat="1" ht="12" customHeight="1" thickBot="1">
      <c r="A66" s="190" t="s">
        <v>295</v>
      </c>
      <c r="B66" s="100" t="s">
        <v>212</v>
      </c>
      <c r="C66" s="157">
        <f>SUM(C67:C69)</f>
        <v>0</v>
      </c>
      <c r="D66" s="241">
        <f>SUM(D67:D69)</f>
        <v>0</v>
      </c>
      <c r="E66" s="93">
        <f>SUM(E67:E69)</f>
        <v>0</v>
      </c>
    </row>
    <row r="67" spans="1:5" s="52" customFormat="1" ht="12" customHeight="1">
      <c r="A67" s="187" t="s">
        <v>240</v>
      </c>
      <c r="B67" s="170" t="s">
        <v>213</v>
      </c>
      <c r="C67" s="161"/>
      <c r="D67" s="302"/>
      <c r="E67" s="97"/>
    </row>
    <row r="68" spans="1:5" s="52" customFormat="1" ht="12" customHeight="1">
      <c r="A68" s="188" t="s">
        <v>249</v>
      </c>
      <c r="B68" s="171" t="s">
        <v>214</v>
      </c>
      <c r="C68" s="161"/>
      <c r="D68" s="302"/>
      <c r="E68" s="97"/>
    </row>
    <row r="69" spans="1:5" s="52" customFormat="1" ht="12" customHeight="1" thickBot="1">
      <c r="A69" s="197" t="s">
        <v>250</v>
      </c>
      <c r="B69" s="371" t="s">
        <v>358</v>
      </c>
      <c r="C69" s="372"/>
      <c r="D69" s="305"/>
      <c r="E69" s="373"/>
    </row>
    <row r="70" spans="1:5" s="52" customFormat="1" ht="12" customHeight="1" thickBot="1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2" customFormat="1" ht="12" customHeight="1">
      <c r="A71" s="187" t="s">
        <v>97</v>
      </c>
      <c r="B71" s="354" t="s">
        <v>218</v>
      </c>
      <c r="C71" s="161"/>
      <c r="D71" s="161"/>
      <c r="E71" s="97"/>
    </row>
    <row r="72" spans="1:5" s="52" customFormat="1" ht="12" customHeight="1">
      <c r="A72" s="188" t="s">
        <v>98</v>
      </c>
      <c r="B72" s="354" t="s">
        <v>495</v>
      </c>
      <c r="C72" s="161"/>
      <c r="D72" s="161"/>
      <c r="E72" s="97"/>
    </row>
    <row r="73" spans="1:5" s="52" customFormat="1" ht="12" customHeight="1">
      <c r="A73" s="188" t="s">
        <v>241</v>
      </c>
      <c r="B73" s="354" t="s">
        <v>219</v>
      </c>
      <c r="C73" s="161"/>
      <c r="D73" s="161"/>
      <c r="E73" s="97"/>
    </row>
    <row r="74" spans="1:5" s="52" customFormat="1" ht="12" customHeight="1" thickBot="1">
      <c r="A74" s="189" t="s">
        <v>242</v>
      </c>
      <c r="B74" s="355" t="s">
        <v>496</v>
      </c>
      <c r="C74" s="161"/>
      <c r="D74" s="161"/>
      <c r="E74" s="97"/>
    </row>
    <row r="75" spans="1:5" s="52" customFormat="1" ht="12" customHeight="1" thickBot="1">
      <c r="A75" s="190" t="s">
        <v>220</v>
      </c>
      <c r="B75" s="100" t="s">
        <v>221</v>
      </c>
      <c r="C75" s="157">
        <f>SUM(C76:C77)</f>
        <v>123445714</v>
      </c>
      <c r="D75" s="157">
        <f>SUM(D76:D77)</f>
        <v>159174120</v>
      </c>
      <c r="E75" s="93">
        <f>SUM(E76:E77)</f>
        <v>159174120</v>
      </c>
    </row>
    <row r="76" spans="1:5" s="52" customFormat="1" ht="12" customHeight="1">
      <c r="A76" s="187" t="s">
        <v>243</v>
      </c>
      <c r="B76" s="170" t="s">
        <v>222</v>
      </c>
      <c r="C76" s="161">
        <v>123445714</v>
      </c>
      <c r="D76" s="161">
        <v>159174120</v>
      </c>
      <c r="E76" s="97">
        <v>159174120</v>
      </c>
    </row>
    <row r="77" spans="1:5" s="52" customFormat="1" ht="12" customHeight="1" thickBot="1">
      <c r="A77" s="189" t="s">
        <v>244</v>
      </c>
      <c r="B77" s="172" t="s">
        <v>223</v>
      </c>
      <c r="C77" s="161"/>
      <c r="D77" s="161"/>
      <c r="E77" s="97"/>
    </row>
    <row r="78" spans="1:5" s="51" customFormat="1" ht="12" customHeight="1" thickBot="1">
      <c r="A78" s="190" t="s">
        <v>224</v>
      </c>
      <c r="B78" s="100" t="s">
        <v>225</v>
      </c>
      <c r="C78" s="157">
        <f>SUM(C79:C81)</f>
        <v>0</v>
      </c>
      <c r="D78" s="157">
        <f>SUM(D79:D81)</f>
        <v>13176869</v>
      </c>
      <c r="E78" s="93">
        <f>SUM(E79:E81)</f>
        <v>13176869</v>
      </c>
    </row>
    <row r="79" spans="1:5" s="52" customFormat="1" ht="12" customHeight="1">
      <c r="A79" s="187" t="s">
        <v>245</v>
      </c>
      <c r="B79" s="170" t="s">
        <v>226</v>
      </c>
      <c r="C79" s="161"/>
      <c r="D79" s="161">
        <v>13176869</v>
      </c>
      <c r="E79" s="97">
        <v>13176869</v>
      </c>
    </row>
    <row r="80" spans="1:5" s="52" customFormat="1" ht="12" customHeight="1">
      <c r="A80" s="188" t="s">
        <v>246</v>
      </c>
      <c r="B80" s="171" t="s">
        <v>227</v>
      </c>
      <c r="C80" s="161"/>
      <c r="D80" s="161"/>
      <c r="E80" s="97"/>
    </row>
    <row r="81" spans="1:5" s="52" customFormat="1" ht="12" customHeight="1" thickBot="1">
      <c r="A81" s="189" t="s">
        <v>247</v>
      </c>
      <c r="B81" s="172" t="s">
        <v>497</v>
      </c>
      <c r="C81" s="161"/>
      <c r="D81" s="161"/>
      <c r="E81" s="97"/>
    </row>
    <row r="82" spans="1:5" s="52" customFormat="1" ht="12" customHeight="1" thickBot="1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2" customFormat="1" ht="12" customHeight="1">
      <c r="A83" s="191" t="s">
        <v>229</v>
      </c>
      <c r="B83" s="170" t="s">
        <v>230</v>
      </c>
      <c r="C83" s="161"/>
      <c r="D83" s="161"/>
      <c r="E83" s="97"/>
    </row>
    <row r="84" spans="1:5" s="52" customFormat="1" ht="12" customHeight="1">
      <c r="A84" s="192" t="s">
        <v>231</v>
      </c>
      <c r="B84" s="171" t="s">
        <v>232</v>
      </c>
      <c r="C84" s="161"/>
      <c r="D84" s="161"/>
      <c r="E84" s="97"/>
    </row>
    <row r="85" spans="1:5" s="52" customFormat="1" ht="12" customHeight="1">
      <c r="A85" s="192" t="s">
        <v>233</v>
      </c>
      <c r="B85" s="171" t="s">
        <v>234</v>
      </c>
      <c r="C85" s="161"/>
      <c r="D85" s="161"/>
      <c r="E85" s="97"/>
    </row>
    <row r="86" spans="1:5" s="51" customFormat="1" ht="12" customHeight="1" thickBot="1">
      <c r="A86" s="193" t="s">
        <v>235</v>
      </c>
      <c r="B86" s="172" t="s">
        <v>236</v>
      </c>
      <c r="C86" s="161"/>
      <c r="D86" s="161"/>
      <c r="E86" s="97"/>
    </row>
    <row r="87" spans="1:5" s="51" customFormat="1" ht="12" customHeight="1" thickBot="1">
      <c r="A87" s="190" t="s">
        <v>237</v>
      </c>
      <c r="B87" s="100" t="s">
        <v>372</v>
      </c>
      <c r="C87" s="213"/>
      <c r="D87" s="213"/>
      <c r="E87" s="214"/>
    </row>
    <row r="88" spans="1:5" s="51" customFormat="1" ht="12" customHeight="1" thickBot="1">
      <c r="A88" s="190" t="s">
        <v>390</v>
      </c>
      <c r="B88" s="100" t="s">
        <v>238</v>
      </c>
      <c r="C88" s="213"/>
      <c r="D88" s="213"/>
      <c r="E88" s="214"/>
    </row>
    <row r="89" spans="1:5" s="51" customFormat="1" ht="12" customHeight="1" thickBot="1">
      <c r="A89" s="190" t="s">
        <v>391</v>
      </c>
      <c r="B89" s="177" t="s">
        <v>375</v>
      </c>
      <c r="C89" s="163">
        <f>+C66+C70+C75+C78+C82+C88+C87</f>
        <v>123445714</v>
      </c>
      <c r="D89" s="163">
        <f>+D66+D70+D75+D78+D82+D88+D87</f>
        <v>172350989</v>
      </c>
      <c r="E89" s="199">
        <f>+E66+E70+E75+E78+E82+E88+E87</f>
        <v>172350989</v>
      </c>
    </row>
    <row r="90" spans="1:5" s="51" customFormat="1" ht="12" customHeight="1" thickBot="1">
      <c r="A90" s="194" t="s">
        <v>392</v>
      </c>
      <c r="B90" s="178" t="s">
        <v>393</v>
      </c>
      <c r="C90" s="163">
        <f>+C65+C89</f>
        <v>623151788</v>
      </c>
      <c r="D90" s="163">
        <f>+D65+D89</f>
        <v>681211600</v>
      </c>
      <c r="E90" s="199">
        <f>+E65+E89</f>
        <v>683473331</v>
      </c>
    </row>
    <row r="91" spans="1:3" s="52" customFormat="1" ht="15" customHeight="1" thickBot="1">
      <c r="A91" s="83"/>
      <c r="B91" s="84"/>
      <c r="C91" s="139"/>
    </row>
    <row r="92" spans="1:5" s="45" customFormat="1" ht="16.5" customHeight="1" thickBot="1">
      <c r="A92" s="799" t="s">
        <v>41</v>
      </c>
      <c r="B92" s="800"/>
      <c r="C92" s="800"/>
      <c r="D92" s="800"/>
      <c r="E92" s="801"/>
    </row>
    <row r="93" spans="1:5" s="53" customFormat="1" ht="12" customHeight="1" thickBot="1">
      <c r="A93" s="164" t="s">
        <v>6</v>
      </c>
      <c r="B93" s="24" t="s">
        <v>397</v>
      </c>
      <c r="C93" s="156">
        <f>+C94+C95+C96+C97+C98+C111</f>
        <v>151233821</v>
      </c>
      <c r="D93" s="156">
        <f>+D94+D95+D96+D97+D98+D111</f>
        <v>210013406</v>
      </c>
      <c r="E93" s="224">
        <f>+E94+E95+E96+E97+E98+E111</f>
        <v>139066260</v>
      </c>
    </row>
    <row r="94" spans="1:5" ht="12" customHeight="1">
      <c r="A94" s="195" t="s">
        <v>64</v>
      </c>
      <c r="B94" s="8" t="s">
        <v>35</v>
      </c>
      <c r="C94" s="231">
        <v>11922870</v>
      </c>
      <c r="D94" s="231">
        <v>14764148</v>
      </c>
      <c r="E94" s="225">
        <v>13243535</v>
      </c>
    </row>
    <row r="95" spans="1:5" ht="12" customHeight="1">
      <c r="A95" s="188" t="s">
        <v>65</v>
      </c>
      <c r="B95" s="6" t="s">
        <v>121</v>
      </c>
      <c r="C95" s="158">
        <v>2602353</v>
      </c>
      <c r="D95" s="158">
        <v>2740631</v>
      </c>
      <c r="E95" s="94">
        <v>2520867</v>
      </c>
    </row>
    <row r="96" spans="1:5" ht="12" customHeight="1">
      <c r="A96" s="188" t="s">
        <v>66</v>
      </c>
      <c r="B96" s="6" t="s">
        <v>92</v>
      </c>
      <c r="C96" s="160">
        <v>39638421</v>
      </c>
      <c r="D96" s="158">
        <v>45894934</v>
      </c>
      <c r="E96" s="96">
        <v>42245600</v>
      </c>
    </row>
    <row r="97" spans="1:5" ht="12" customHeight="1">
      <c r="A97" s="188" t="s">
        <v>67</v>
      </c>
      <c r="B97" s="9" t="s">
        <v>122</v>
      </c>
      <c r="C97" s="160">
        <v>5300000</v>
      </c>
      <c r="D97" s="244">
        <v>5300000</v>
      </c>
      <c r="E97" s="96">
        <v>3851370</v>
      </c>
    </row>
    <row r="98" spans="1:5" ht="12" customHeight="1">
      <c r="A98" s="188" t="s">
        <v>76</v>
      </c>
      <c r="B98" s="17" t="s">
        <v>123</v>
      </c>
      <c r="C98" s="160">
        <v>68346835</v>
      </c>
      <c r="D98" s="244">
        <v>78505218</v>
      </c>
      <c r="E98" s="96">
        <v>77204888</v>
      </c>
    </row>
    <row r="99" spans="1:5" ht="12" customHeight="1">
      <c r="A99" s="188" t="s">
        <v>68</v>
      </c>
      <c r="B99" s="6" t="s">
        <v>394</v>
      </c>
      <c r="C99" s="160">
        <v>1239822</v>
      </c>
      <c r="D99" s="244"/>
      <c r="E99" s="96"/>
    </row>
    <row r="100" spans="1:5" ht="12" customHeight="1">
      <c r="A100" s="188" t="s">
        <v>69</v>
      </c>
      <c r="B100" s="63" t="s">
        <v>338</v>
      </c>
      <c r="C100" s="160"/>
      <c r="D100" s="244"/>
      <c r="E100" s="96"/>
    </row>
    <row r="101" spans="1:5" ht="12" customHeight="1">
      <c r="A101" s="188" t="s">
        <v>77</v>
      </c>
      <c r="B101" s="63" t="s">
        <v>337</v>
      </c>
      <c r="C101" s="160"/>
      <c r="D101" s="244">
        <v>1435360</v>
      </c>
      <c r="E101" s="96">
        <v>1435030</v>
      </c>
    </row>
    <row r="102" spans="1:5" ht="12" customHeight="1">
      <c r="A102" s="188" t="s">
        <v>78</v>
      </c>
      <c r="B102" s="63" t="s">
        <v>254</v>
      </c>
      <c r="C102" s="160"/>
      <c r="D102" s="244"/>
      <c r="E102" s="96"/>
    </row>
    <row r="103" spans="1:5" ht="12" customHeight="1">
      <c r="A103" s="188" t="s">
        <v>79</v>
      </c>
      <c r="B103" s="64" t="s">
        <v>255</v>
      </c>
      <c r="C103" s="160"/>
      <c r="D103" s="244"/>
      <c r="E103" s="96"/>
    </row>
    <row r="104" spans="1:5" ht="12" customHeight="1">
      <c r="A104" s="188" t="s">
        <v>80</v>
      </c>
      <c r="B104" s="64" t="s">
        <v>256</v>
      </c>
      <c r="C104" s="160"/>
      <c r="D104" s="244"/>
      <c r="E104" s="96"/>
    </row>
    <row r="105" spans="1:5" ht="12" customHeight="1">
      <c r="A105" s="188" t="s">
        <v>82</v>
      </c>
      <c r="B105" s="63" t="s">
        <v>257</v>
      </c>
      <c r="C105" s="160">
        <v>48225000</v>
      </c>
      <c r="D105" s="244">
        <v>49033858</v>
      </c>
      <c r="E105" s="96">
        <v>48853858</v>
      </c>
    </row>
    <row r="106" spans="1:5" ht="12" customHeight="1">
      <c r="A106" s="188" t="s">
        <v>124</v>
      </c>
      <c r="B106" s="63" t="s">
        <v>258</v>
      </c>
      <c r="C106" s="160"/>
      <c r="D106" s="244"/>
      <c r="E106" s="96"/>
    </row>
    <row r="107" spans="1:5" ht="12" customHeight="1">
      <c r="A107" s="188" t="s">
        <v>252</v>
      </c>
      <c r="B107" s="64" t="s">
        <v>259</v>
      </c>
      <c r="C107" s="158"/>
      <c r="D107" s="244">
        <v>42000</v>
      </c>
      <c r="E107" s="96">
        <v>42000</v>
      </c>
    </row>
    <row r="108" spans="1:5" ht="12" customHeight="1">
      <c r="A108" s="196" t="s">
        <v>253</v>
      </c>
      <c r="B108" s="65" t="s">
        <v>260</v>
      </c>
      <c r="C108" s="160"/>
      <c r="D108" s="244"/>
      <c r="E108" s="96"/>
    </row>
    <row r="109" spans="1:5" ht="12" customHeight="1">
      <c r="A109" s="188" t="s">
        <v>335</v>
      </c>
      <c r="B109" s="65" t="s">
        <v>261</v>
      </c>
      <c r="C109" s="160"/>
      <c r="D109" s="244"/>
      <c r="E109" s="96"/>
    </row>
    <row r="110" spans="1:5" ht="12" customHeight="1">
      <c r="A110" s="188" t="s">
        <v>336</v>
      </c>
      <c r="B110" s="64" t="s">
        <v>262</v>
      </c>
      <c r="C110" s="158">
        <v>18882013</v>
      </c>
      <c r="D110" s="243">
        <v>27994000</v>
      </c>
      <c r="E110" s="94">
        <v>26874000</v>
      </c>
    </row>
    <row r="111" spans="1:5" ht="12" customHeight="1">
      <c r="A111" s="188" t="s">
        <v>340</v>
      </c>
      <c r="B111" s="9" t="s">
        <v>36</v>
      </c>
      <c r="C111" s="158">
        <v>23423342</v>
      </c>
      <c r="D111" s="243">
        <v>62808475</v>
      </c>
      <c r="E111" s="94">
        <v>0</v>
      </c>
    </row>
    <row r="112" spans="1:5" ht="12" customHeight="1">
      <c r="A112" s="189" t="s">
        <v>341</v>
      </c>
      <c r="B112" s="6" t="s">
        <v>395</v>
      </c>
      <c r="C112" s="160">
        <v>16584253</v>
      </c>
      <c r="D112" s="244">
        <v>55565549</v>
      </c>
      <c r="E112" s="96"/>
    </row>
    <row r="113" spans="1:5" ht="12" customHeight="1" thickBot="1">
      <c r="A113" s="197" t="s">
        <v>342</v>
      </c>
      <c r="B113" s="66" t="s">
        <v>396</v>
      </c>
      <c r="C113" s="232">
        <v>6839089</v>
      </c>
      <c r="D113" s="308">
        <v>7242926</v>
      </c>
      <c r="E113" s="226"/>
    </row>
    <row r="114" spans="1:5" ht="12" customHeight="1" thickBot="1">
      <c r="A114" s="25" t="s">
        <v>7</v>
      </c>
      <c r="B114" s="23" t="s">
        <v>263</v>
      </c>
      <c r="C114" s="157">
        <f>+C115+C117+C119</f>
        <v>159378268</v>
      </c>
      <c r="D114" s="241">
        <f>+D115+D117+D119</f>
        <v>134835158</v>
      </c>
      <c r="E114" s="93">
        <f>+E115+E117+E119</f>
        <v>80883564</v>
      </c>
    </row>
    <row r="115" spans="1:5" ht="12" customHeight="1">
      <c r="A115" s="187" t="s">
        <v>70</v>
      </c>
      <c r="B115" s="6" t="s">
        <v>138</v>
      </c>
      <c r="C115" s="159">
        <v>83867113</v>
      </c>
      <c r="D115" s="242">
        <v>81461838</v>
      </c>
      <c r="E115" s="95">
        <v>54094979</v>
      </c>
    </row>
    <row r="116" spans="1:5" ht="12" customHeight="1">
      <c r="A116" s="187" t="s">
        <v>71</v>
      </c>
      <c r="B116" s="10" t="s">
        <v>267</v>
      </c>
      <c r="C116" s="159">
        <v>68814684</v>
      </c>
      <c r="D116" s="242">
        <v>68814684</v>
      </c>
      <c r="E116" s="95">
        <v>45463345</v>
      </c>
    </row>
    <row r="117" spans="1:5" ht="12" customHeight="1">
      <c r="A117" s="187" t="s">
        <v>72</v>
      </c>
      <c r="B117" s="10" t="s">
        <v>125</v>
      </c>
      <c r="C117" s="158">
        <v>71011155</v>
      </c>
      <c r="D117" s="243">
        <v>51278360</v>
      </c>
      <c r="E117" s="94">
        <v>24926925</v>
      </c>
    </row>
    <row r="118" spans="1:5" ht="12" customHeight="1">
      <c r="A118" s="187" t="s">
        <v>73</v>
      </c>
      <c r="B118" s="10" t="s">
        <v>268</v>
      </c>
      <c r="C118" s="158"/>
      <c r="D118" s="243"/>
      <c r="E118" s="94"/>
    </row>
    <row r="119" spans="1:5" ht="12" customHeight="1">
      <c r="A119" s="187" t="s">
        <v>74</v>
      </c>
      <c r="B119" s="102" t="s">
        <v>140</v>
      </c>
      <c r="C119" s="158">
        <v>4500000</v>
      </c>
      <c r="D119" s="243">
        <v>2094960</v>
      </c>
      <c r="E119" s="94">
        <v>1861660</v>
      </c>
    </row>
    <row r="120" spans="1:5" ht="12" customHeight="1">
      <c r="A120" s="187" t="s">
        <v>81</v>
      </c>
      <c r="B120" s="101" t="s">
        <v>327</v>
      </c>
      <c r="C120" s="158"/>
      <c r="D120" s="243"/>
      <c r="E120" s="94"/>
    </row>
    <row r="121" spans="1:5" ht="12" customHeight="1">
      <c r="A121" s="187" t="s">
        <v>83</v>
      </c>
      <c r="B121" s="166" t="s">
        <v>273</v>
      </c>
      <c r="C121" s="158"/>
      <c r="D121" s="243"/>
      <c r="E121" s="94"/>
    </row>
    <row r="122" spans="1:5" ht="12" customHeight="1">
      <c r="A122" s="187" t="s">
        <v>126</v>
      </c>
      <c r="B122" s="64" t="s">
        <v>256</v>
      </c>
      <c r="C122" s="158"/>
      <c r="D122" s="243">
        <v>0</v>
      </c>
      <c r="E122" s="94"/>
    </row>
    <row r="123" spans="1:5" ht="12" customHeight="1">
      <c r="A123" s="187" t="s">
        <v>127</v>
      </c>
      <c r="B123" s="64" t="s">
        <v>272</v>
      </c>
      <c r="C123" s="158"/>
      <c r="D123" s="243"/>
      <c r="E123" s="94"/>
    </row>
    <row r="124" spans="1:5" ht="12" customHeight="1">
      <c r="A124" s="187" t="s">
        <v>128</v>
      </c>
      <c r="B124" s="64" t="s">
        <v>271</v>
      </c>
      <c r="C124" s="158"/>
      <c r="D124" s="243"/>
      <c r="E124" s="94"/>
    </row>
    <row r="125" spans="1:5" ht="12" customHeight="1">
      <c r="A125" s="187" t="s">
        <v>264</v>
      </c>
      <c r="B125" s="64" t="s">
        <v>259</v>
      </c>
      <c r="C125" s="158">
        <v>2000000</v>
      </c>
      <c r="D125" s="243">
        <v>1845000</v>
      </c>
      <c r="E125" s="94">
        <v>1611700</v>
      </c>
    </row>
    <row r="126" spans="1:5" ht="12" customHeight="1">
      <c r="A126" s="187" t="s">
        <v>265</v>
      </c>
      <c r="B126" s="64" t="s">
        <v>270</v>
      </c>
      <c r="C126" s="158"/>
      <c r="D126" s="243"/>
      <c r="E126" s="94"/>
    </row>
    <row r="127" spans="1:5" ht="12" customHeight="1" thickBot="1">
      <c r="A127" s="196" t="s">
        <v>266</v>
      </c>
      <c r="B127" s="64" t="s">
        <v>269</v>
      </c>
      <c r="C127" s="160">
        <v>2500000</v>
      </c>
      <c r="D127" s="244">
        <v>249960</v>
      </c>
      <c r="E127" s="96">
        <v>249960</v>
      </c>
    </row>
    <row r="128" spans="1:5" ht="12" customHeight="1" thickBot="1">
      <c r="A128" s="25" t="s">
        <v>8</v>
      </c>
      <c r="B128" s="57" t="s">
        <v>345</v>
      </c>
      <c r="C128" s="157">
        <f>+C93+C114</f>
        <v>310612089</v>
      </c>
      <c r="D128" s="241">
        <f>+D93+D114</f>
        <v>344848564</v>
      </c>
      <c r="E128" s="93">
        <f>+E93+E114</f>
        <v>219949824</v>
      </c>
    </row>
    <row r="129" spans="1:5" ht="12" customHeight="1" thickBot="1">
      <c r="A129" s="25" t="s">
        <v>9</v>
      </c>
      <c r="B129" s="57" t="s">
        <v>346</v>
      </c>
      <c r="C129" s="157">
        <f>+C130+C131+C132</f>
        <v>0</v>
      </c>
      <c r="D129" s="241">
        <f>+D130+D131+D132</f>
        <v>0</v>
      </c>
      <c r="E129" s="93">
        <f>+E130+E131+E132</f>
        <v>0</v>
      </c>
    </row>
    <row r="130" spans="1:5" s="53" customFormat="1" ht="12" customHeight="1">
      <c r="A130" s="187" t="s">
        <v>171</v>
      </c>
      <c r="B130" s="7" t="s">
        <v>400</v>
      </c>
      <c r="C130" s="158"/>
      <c r="D130" s="243"/>
      <c r="E130" s="94"/>
    </row>
    <row r="131" spans="1:5" ht="12" customHeight="1">
      <c r="A131" s="187" t="s">
        <v>172</v>
      </c>
      <c r="B131" s="7" t="s">
        <v>354</v>
      </c>
      <c r="C131" s="158"/>
      <c r="D131" s="243"/>
      <c r="E131" s="94"/>
    </row>
    <row r="132" spans="1:5" ht="12" customHeight="1" thickBot="1">
      <c r="A132" s="196" t="s">
        <v>173</v>
      </c>
      <c r="B132" s="5" t="s">
        <v>399</v>
      </c>
      <c r="C132" s="158"/>
      <c r="D132" s="243"/>
      <c r="E132" s="94"/>
    </row>
    <row r="133" spans="1:5" ht="12" customHeight="1" thickBot="1">
      <c r="A133" s="25" t="s">
        <v>10</v>
      </c>
      <c r="B133" s="57" t="s">
        <v>347</v>
      </c>
      <c r="C133" s="157">
        <f>+C134+C135+C136+C137+C138+C139</f>
        <v>0</v>
      </c>
      <c r="D133" s="241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356</v>
      </c>
      <c r="C134" s="158"/>
      <c r="D134" s="243"/>
      <c r="E134" s="94"/>
    </row>
    <row r="135" spans="1:5" ht="12" customHeight="1">
      <c r="A135" s="187" t="s">
        <v>58</v>
      </c>
      <c r="B135" s="7" t="s">
        <v>348</v>
      </c>
      <c r="C135" s="158"/>
      <c r="D135" s="243"/>
      <c r="E135" s="94"/>
    </row>
    <row r="136" spans="1:5" ht="12" customHeight="1">
      <c r="A136" s="187" t="s">
        <v>59</v>
      </c>
      <c r="B136" s="7" t="s">
        <v>349</v>
      </c>
      <c r="C136" s="158"/>
      <c r="D136" s="243"/>
      <c r="E136" s="94"/>
    </row>
    <row r="137" spans="1:5" ht="12" customHeight="1">
      <c r="A137" s="187" t="s">
        <v>113</v>
      </c>
      <c r="B137" s="7" t="s">
        <v>398</v>
      </c>
      <c r="C137" s="158"/>
      <c r="D137" s="243"/>
      <c r="E137" s="94"/>
    </row>
    <row r="138" spans="1:5" ht="12" customHeight="1">
      <c r="A138" s="187" t="s">
        <v>114</v>
      </c>
      <c r="B138" s="7" t="s">
        <v>351</v>
      </c>
      <c r="C138" s="158"/>
      <c r="D138" s="243"/>
      <c r="E138" s="94"/>
    </row>
    <row r="139" spans="1:5" s="53" customFormat="1" ht="12" customHeight="1" thickBot="1">
      <c r="A139" s="196" t="s">
        <v>115</v>
      </c>
      <c r="B139" s="5" t="s">
        <v>352</v>
      </c>
      <c r="C139" s="158"/>
      <c r="D139" s="243"/>
      <c r="E139" s="94"/>
    </row>
    <row r="140" spans="1:11" ht="12" customHeight="1" thickBot="1">
      <c r="A140" s="25" t="s">
        <v>11</v>
      </c>
      <c r="B140" s="57" t="s">
        <v>413</v>
      </c>
      <c r="C140" s="163">
        <f>+C141+C142+C144+C145+C143</f>
        <v>312539699</v>
      </c>
      <c r="D140" s="245">
        <f>+D141+D142+D144+D145+D143</f>
        <v>336363036</v>
      </c>
      <c r="E140" s="199">
        <f>+E141+E142+E144+E145+E143</f>
        <v>288049810</v>
      </c>
      <c r="K140" s="92"/>
    </row>
    <row r="141" spans="1:5" ht="12.75">
      <c r="A141" s="187" t="s">
        <v>60</v>
      </c>
      <c r="B141" s="7" t="s">
        <v>274</v>
      </c>
      <c r="C141" s="158"/>
      <c r="D141" s="243"/>
      <c r="E141" s="94"/>
    </row>
    <row r="142" spans="1:5" ht="12" customHeight="1">
      <c r="A142" s="187" t="s">
        <v>61</v>
      </c>
      <c r="B142" s="7" t="s">
        <v>275</v>
      </c>
      <c r="C142" s="158">
        <v>4112627</v>
      </c>
      <c r="D142" s="243">
        <v>13230398</v>
      </c>
      <c r="E142" s="94">
        <v>13230398</v>
      </c>
    </row>
    <row r="143" spans="1:5" ht="12" customHeight="1">
      <c r="A143" s="187" t="s">
        <v>191</v>
      </c>
      <c r="B143" s="7" t="s">
        <v>412</v>
      </c>
      <c r="C143" s="158">
        <v>308427072</v>
      </c>
      <c r="D143" s="243">
        <v>323132638</v>
      </c>
      <c r="E143" s="94">
        <v>274819412</v>
      </c>
    </row>
    <row r="144" spans="1:5" s="53" customFormat="1" ht="12" customHeight="1">
      <c r="A144" s="187" t="s">
        <v>192</v>
      </c>
      <c r="B144" s="7" t="s">
        <v>361</v>
      </c>
      <c r="C144" s="158"/>
      <c r="D144" s="243"/>
      <c r="E144" s="94"/>
    </row>
    <row r="145" spans="1:5" s="53" customFormat="1" ht="12" customHeight="1" thickBot="1">
      <c r="A145" s="196" t="s">
        <v>193</v>
      </c>
      <c r="B145" s="5" t="s">
        <v>291</v>
      </c>
      <c r="C145" s="158"/>
      <c r="D145" s="243"/>
      <c r="E145" s="94"/>
    </row>
    <row r="146" spans="1:5" s="53" customFormat="1" ht="12" customHeight="1" thickBot="1">
      <c r="A146" s="25" t="s">
        <v>12</v>
      </c>
      <c r="B146" s="57" t="s">
        <v>362</v>
      </c>
      <c r="C146" s="234">
        <f>+C147+C148+C149+C150+C151</f>
        <v>0</v>
      </c>
      <c r="D146" s="246">
        <f>+D147+D148+D149+D150+D151</f>
        <v>0</v>
      </c>
      <c r="E146" s="228">
        <f>+E147+E148+E149+E150+E151</f>
        <v>0</v>
      </c>
    </row>
    <row r="147" spans="1:5" s="53" customFormat="1" ht="12" customHeight="1">
      <c r="A147" s="187" t="s">
        <v>62</v>
      </c>
      <c r="B147" s="7" t="s">
        <v>357</v>
      </c>
      <c r="C147" s="158"/>
      <c r="D147" s="243"/>
      <c r="E147" s="94"/>
    </row>
    <row r="148" spans="1:5" s="53" customFormat="1" ht="12" customHeight="1">
      <c r="A148" s="187" t="s">
        <v>63</v>
      </c>
      <c r="B148" s="7" t="s">
        <v>364</v>
      </c>
      <c r="C148" s="158"/>
      <c r="D148" s="243"/>
      <c r="E148" s="94"/>
    </row>
    <row r="149" spans="1:5" s="53" customFormat="1" ht="12" customHeight="1">
      <c r="A149" s="187" t="s">
        <v>203</v>
      </c>
      <c r="B149" s="7" t="s">
        <v>359</v>
      </c>
      <c r="C149" s="158"/>
      <c r="D149" s="243"/>
      <c r="E149" s="94"/>
    </row>
    <row r="150" spans="1:5" s="53" customFormat="1" ht="12" customHeight="1">
      <c r="A150" s="187" t="s">
        <v>204</v>
      </c>
      <c r="B150" s="7" t="s">
        <v>401</v>
      </c>
      <c r="C150" s="158"/>
      <c r="D150" s="243"/>
      <c r="E150" s="94"/>
    </row>
    <row r="151" spans="1:5" ht="12.75" customHeight="1" thickBot="1">
      <c r="A151" s="196" t="s">
        <v>363</v>
      </c>
      <c r="B151" s="5" t="s">
        <v>366</v>
      </c>
      <c r="C151" s="160"/>
      <c r="D151" s="244"/>
      <c r="E151" s="96"/>
    </row>
    <row r="152" spans="1:5" ht="12.75" customHeight="1" thickBot="1">
      <c r="A152" s="223" t="s">
        <v>13</v>
      </c>
      <c r="B152" s="57" t="s">
        <v>367</v>
      </c>
      <c r="C152" s="234"/>
      <c r="D152" s="246"/>
      <c r="E152" s="228"/>
    </row>
    <row r="153" spans="1:5" ht="12.75" customHeight="1" thickBot="1">
      <c r="A153" s="223" t="s">
        <v>14</v>
      </c>
      <c r="B153" s="57" t="s">
        <v>368</v>
      </c>
      <c r="C153" s="234"/>
      <c r="D153" s="246"/>
      <c r="E153" s="228"/>
    </row>
    <row r="154" spans="1:5" ht="12" customHeight="1" thickBot="1">
      <c r="A154" s="25" t="s">
        <v>15</v>
      </c>
      <c r="B154" s="57" t="s">
        <v>370</v>
      </c>
      <c r="C154" s="236">
        <f>+C129+C133+C140+C146+C152+C153</f>
        <v>312539699</v>
      </c>
      <c r="D154" s="248">
        <f>+D129+D133+D140+D146+D152+D153</f>
        <v>336363036</v>
      </c>
      <c r="E154" s="230">
        <f>+E129+E133+E140+E146+E152+E153</f>
        <v>288049810</v>
      </c>
    </row>
    <row r="155" spans="1:5" ht="15" customHeight="1" thickBot="1">
      <c r="A155" s="198" t="s">
        <v>16</v>
      </c>
      <c r="B155" s="144" t="s">
        <v>369</v>
      </c>
      <c r="C155" s="236">
        <f>+C128+C154</f>
        <v>623151788</v>
      </c>
      <c r="D155" s="248">
        <f>+D128+D154</f>
        <v>681211600</v>
      </c>
      <c r="E155" s="230">
        <f>+E128+E154</f>
        <v>507999634</v>
      </c>
    </row>
    <row r="156" spans="1:5" ht="13.5" thickBot="1">
      <c r="A156" s="147"/>
      <c r="B156" s="148"/>
      <c r="C156" s="602">
        <f>C90-C155</f>
        <v>0</v>
      </c>
      <c r="D156" s="602">
        <f>D90-D155</f>
        <v>0</v>
      </c>
      <c r="E156" s="149"/>
    </row>
    <row r="157" spans="1:5" ht="15" customHeight="1" thickBot="1">
      <c r="A157" s="90" t="s">
        <v>490</v>
      </c>
      <c r="B157" s="91"/>
      <c r="C157" s="307">
        <v>7</v>
      </c>
      <c r="D157" s="307">
        <v>7</v>
      </c>
      <c r="E157" s="306">
        <v>7</v>
      </c>
    </row>
    <row r="158" spans="1:5" ht="14.25" customHeight="1" thickBot="1">
      <c r="A158" s="90" t="s">
        <v>491</v>
      </c>
      <c r="B158" s="91"/>
      <c r="C158" s="307">
        <v>0</v>
      </c>
      <c r="D158" s="307">
        <v>0</v>
      </c>
      <c r="E158" s="306">
        <v>0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zoomScale="120" zoomScaleNormal="120" zoomScaleSheetLayoutView="100" workbookViewId="0" topLeftCell="A131">
      <selection activeCell="H158" sqref="H158"/>
    </sheetView>
  </sheetViews>
  <sheetFormatPr defaultColWidth="9.37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6" width="7.625" style="2" customWidth="1"/>
    <col min="7" max="16384" width="9.375" style="2" customWidth="1"/>
  </cols>
  <sheetData>
    <row r="1" spans="1:5" s="1" customFormat="1" ht="16.5" customHeight="1" thickBot="1">
      <c r="A1" s="374"/>
      <c r="B1" s="803" t="str">
        <f>CONCATENATE("6.1.1. melléklet ",Z_ALAPADATOK!A7," ",Z_ALAPADATOK!B7," ",Z_ALAPADATOK!C7," ",Z_ALAPADATOK!D7," ",Z_ALAPADATOK!E7," ",Z_ALAPADATOK!F7," ",Z_ALAPADATOK!G7," ",Z_ALAPADATOK!H7)</f>
        <v>6.1.1. melléklet a … / 2020. ( … ) önkormányzati rendelethez</v>
      </c>
      <c r="C1" s="804"/>
      <c r="D1" s="804"/>
      <c r="E1" s="804"/>
    </row>
    <row r="2" spans="1:5" s="49" customFormat="1" ht="21" customHeight="1" thickBot="1">
      <c r="A2" s="383" t="s">
        <v>45</v>
      </c>
      <c r="B2" s="802" t="str">
        <f>CONCATENATE(Z_ALAPADATOK!A3)</f>
        <v>Balatonvilágos Község Önkormányzata</v>
      </c>
      <c r="C2" s="802"/>
      <c r="D2" s="802"/>
      <c r="E2" s="384" t="s">
        <v>39</v>
      </c>
    </row>
    <row r="3" spans="1:5" s="49" customFormat="1" ht="23.25" thickBot="1">
      <c r="A3" s="383" t="s">
        <v>134</v>
      </c>
      <c r="B3" s="802" t="s">
        <v>318</v>
      </c>
      <c r="C3" s="802"/>
      <c r="D3" s="802"/>
      <c r="E3" s="385" t="s">
        <v>43</v>
      </c>
    </row>
    <row r="4" spans="1:5" s="50" customFormat="1" ht="15.75" customHeight="1" thickBot="1">
      <c r="A4" s="377"/>
      <c r="B4" s="377"/>
      <c r="C4" s="378"/>
      <c r="D4" s="379"/>
      <c r="E4" s="378" t="str">
        <f>'Z_6.1.sz.mell'!E4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CONCATENATE('Z_6.1.sz.mell'!E5)</f>
        <v>Teljesítés
2019. XII. 31.</v>
      </c>
    </row>
    <row r="6" spans="1:5" s="45" customFormat="1" ht="12.75" customHeight="1" thickBot="1">
      <c r="A6" s="72" t="s">
        <v>381</v>
      </c>
      <c r="B6" s="73" t="s">
        <v>382</v>
      </c>
      <c r="C6" s="73" t="s">
        <v>383</v>
      </c>
      <c r="D6" s="301" t="s">
        <v>385</v>
      </c>
      <c r="E6" s="74" t="s">
        <v>384</v>
      </c>
    </row>
    <row r="7" spans="1:5" s="45" customFormat="1" ht="15.75" customHeight="1" thickBot="1">
      <c r="A7" s="799" t="s">
        <v>40</v>
      </c>
      <c r="B7" s="800"/>
      <c r="C7" s="800"/>
      <c r="D7" s="800"/>
      <c r="E7" s="801"/>
    </row>
    <row r="8" spans="1:5" s="45" customFormat="1" ht="12" customHeight="1" thickBot="1">
      <c r="A8" s="25" t="s">
        <v>6</v>
      </c>
      <c r="B8" s="19" t="s">
        <v>156</v>
      </c>
      <c r="C8" s="157">
        <f>+C9+C10+C11+C12+C13+C14</f>
        <v>114843006</v>
      </c>
      <c r="D8" s="241">
        <f>+D9+D10+D11+D12+D13+D14</f>
        <v>123109630</v>
      </c>
      <c r="E8" s="93">
        <f>+E9+E10+E11+E12+E13+E14</f>
        <v>123109630</v>
      </c>
    </row>
    <row r="9" spans="1:5" s="51" customFormat="1" ht="12" customHeight="1">
      <c r="A9" s="187" t="s">
        <v>64</v>
      </c>
      <c r="B9" s="170" t="s">
        <v>157</v>
      </c>
      <c r="C9" s="159">
        <v>40818439</v>
      </c>
      <c r="D9" s="242">
        <v>42128995</v>
      </c>
      <c r="E9" s="95">
        <v>42128995</v>
      </c>
    </row>
    <row r="10" spans="1:5" s="52" customFormat="1" ht="12" customHeight="1">
      <c r="A10" s="188" t="s">
        <v>65</v>
      </c>
      <c r="B10" s="171" t="s">
        <v>158</v>
      </c>
      <c r="C10" s="158">
        <v>36859717</v>
      </c>
      <c r="D10" s="243">
        <v>38563100</v>
      </c>
      <c r="E10" s="94">
        <v>38563100</v>
      </c>
    </row>
    <row r="11" spans="1:5" s="52" customFormat="1" ht="12" customHeight="1">
      <c r="A11" s="188" t="s">
        <v>66</v>
      </c>
      <c r="B11" s="171" t="s">
        <v>159</v>
      </c>
      <c r="C11" s="158">
        <v>35364850</v>
      </c>
      <c r="D11" s="243">
        <v>28917785</v>
      </c>
      <c r="E11" s="94">
        <v>28917785</v>
      </c>
    </row>
    <row r="12" spans="1:5" s="52" customFormat="1" ht="12" customHeight="1">
      <c r="A12" s="188" t="s">
        <v>67</v>
      </c>
      <c r="B12" s="171" t="s">
        <v>160</v>
      </c>
      <c r="C12" s="158">
        <v>1800000</v>
      </c>
      <c r="D12" s="243">
        <v>1808000</v>
      </c>
      <c r="E12" s="94">
        <v>1808000</v>
      </c>
    </row>
    <row r="13" spans="1:5" s="52" customFormat="1" ht="12" customHeight="1">
      <c r="A13" s="188" t="s">
        <v>96</v>
      </c>
      <c r="B13" s="171" t="s">
        <v>389</v>
      </c>
      <c r="C13" s="158"/>
      <c r="D13" s="243">
        <v>11691750</v>
      </c>
      <c r="E13" s="94">
        <v>11691750</v>
      </c>
    </row>
    <row r="14" spans="1:5" s="51" customFormat="1" ht="12" customHeight="1" thickBot="1">
      <c r="A14" s="189" t="s">
        <v>68</v>
      </c>
      <c r="B14" s="172" t="s">
        <v>330</v>
      </c>
      <c r="C14" s="158"/>
      <c r="D14" s="243"/>
      <c r="E14" s="94"/>
    </row>
    <row r="15" spans="1:5" s="51" customFormat="1" ht="12" customHeight="1" thickBot="1">
      <c r="A15" s="25" t="s">
        <v>7</v>
      </c>
      <c r="B15" s="100" t="s">
        <v>161</v>
      </c>
      <c r="C15" s="157">
        <f>+C16+C17+C18+C19+C20</f>
        <v>17284913</v>
      </c>
      <c r="D15" s="241">
        <f>+D16+D17+D18+D19+D20</f>
        <v>20516736</v>
      </c>
      <c r="E15" s="93">
        <f>+E16+E17+E18+E19+E20</f>
        <v>20516736</v>
      </c>
    </row>
    <row r="16" spans="1:5" s="51" customFormat="1" ht="12" customHeight="1">
      <c r="A16" s="187" t="s">
        <v>70</v>
      </c>
      <c r="B16" s="170" t="s">
        <v>162</v>
      </c>
      <c r="C16" s="159"/>
      <c r="D16" s="242"/>
      <c r="E16" s="95"/>
    </row>
    <row r="17" spans="1:5" s="51" customFormat="1" ht="12" customHeight="1">
      <c r="A17" s="188" t="s">
        <v>71</v>
      </c>
      <c r="B17" s="171" t="s">
        <v>163</v>
      </c>
      <c r="C17" s="158"/>
      <c r="D17" s="243"/>
      <c r="E17" s="94"/>
    </row>
    <row r="18" spans="1:5" s="51" customFormat="1" ht="12" customHeight="1">
      <c r="A18" s="188" t="s">
        <v>72</v>
      </c>
      <c r="B18" s="171" t="s">
        <v>321</v>
      </c>
      <c r="C18" s="158"/>
      <c r="D18" s="243"/>
      <c r="E18" s="94"/>
    </row>
    <row r="19" spans="1:5" s="51" customFormat="1" ht="12" customHeight="1">
      <c r="A19" s="188" t="s">
        <v>73</v>
      </c>
      <c r="B19" s="171" t="s">
        <v>322</v>
      </c>
      <c r="C19" s="158"/>
      <c r="D19" s="243"/>
      <c r="E19" s="94"/>
    </row>
    <row r="20" spans="1:5" s="51" customFormat="1" ht="12" customHeight="1">
      <c r="A20" s="188" t="s">
        <v>74</v>
      </c>
      <c r="B20" s="171" t="s">
        <v>164</v>
      </c>
      <c r="C20" s="158">
        <v>17284913</v>
      </c>
      <c r="D20" s="243">
        <v>20516736</v>
      </c>
      <c r="E20" s="94">
        <v>20516736</v>
      </c>
    </row>
    <row r="21" spans="1:5" s="52" customFormat="1" ht="12" customHeight="1" thickBot="1">
      <c r="A21" s="189" t="s">
        <v>81</v>
      </c>
      <c r="B21" s="172" t="s">
        <v>165</v>
      </c>
      <c r="C21" s="160"/>
      <c r="D21" s="244"/>
      <c r="E21" s="96"/>
    </row>
    <row r="22" spans="1:5" s="52" customFormat="1" ht="12" customHeight="1" thickBot="1">
      <c r="A22" s="25" t="s">
        <v>8</v>
      </c>
      <c r="B22" s="19" t="s">
        <v>166</v>
      </c>
      <c r="C22" s="157">
        <f>+C23+C24+C25+C26+C27</f>
        <v>145309282</v>
      </c>
      <c r="D22" s="241">
        <f>+D23+D24+D25+D26+D27</f>
        <v>108981962</v>
      </c>
      <c r="E22" s="93">
        <f>+E23+E24+E25+E26+E27</f>
        <v>112960973</v>
      </c>
    </row>
    <row r="23" spans="1:5" s="52" customFormat="1" ht="12" customHeight="1">
      <c r="A23" s="187" t="s">
        <v>53</v>
      </c>
      <c r="B23" s="170" t="s">
        <v>167</v>
      </c>
      <c r="C23" s="159">
        <v>145309282</v>
      </c>
      <c r="D23" s="242">
        <v>108981962</v>
      </c>
      <c r="E23" s="95">
        <v>112960973</v>
      </c>
    </row>
    <row r="24" spans="1:5" s="51" customFormat="1" ht="12" customHeight="1">
      <c r="A24" s="188" t="s">
        <v>54</v>
      </c>
      <c r="B24" s="171" t="s">
        <v>168</v>
      </c>
      <c r="C24" s="158"/>
      <c r="D24" s="243"/>
      <c r="E24" s="94"/>
    </row>
    <row r="25" spans="1:5" s="52" customFormat="1" ht="12" customHeight="1">
      <c r="A25" s="188" t="s">
        <v>55</v>
      </c>
      <c r="B25" s="171" t="s">
        <v>323</v>
      </c>
      <c r="C25" s="158"/>
      <c r="D25" s="243"/>
      <c r="E25" s="94"/>
    </row>
    <row r="26" spans="1:5" s="52" customFormat="1" ht="12" customHeight="1">
      <c r="A26" s="188" t="s">
        <v>56</v>
      </c>
      <c r="B26" s="171" t="s">
        <v>324</v>
      </c>
      <c r="C26" s="158"/>
      <c r="D26" s="243"/>
      <c r="E26" s="94"/>
    </row>
    <row r="27" spans="1:5" s="52" customFormat="1" ht="12" customHeight="1">
      <c r="A27" s="188" t="s">
        <v>109</v>
      </c>
      <c r="B27" s="171" t="s">
        <v>169</v>
      </c>
      <c r="C27" s="158"/>
      <c r="D27" s="243"/>
      <c r="E27" s="94"/>
    </row>
    <row r="28" spans="1:5" s="52" customFormat="1" ht="12" customHeight="1" thickBot="1">
      <c r="A28" s="189" t="s">
        <v>110</v>
      </c>
      <c r="B28" s="172" t="s">
        <v>170</v>
      </c>
      <c r="C28" s="160"/>
      <c r="D28" s="244"/>
      <c r="E28" s="96"/>
    </row>
    <row r="29" spans="1:5" s="52" customFormat="1" ht="12" customHeight="1" thickBot="1">
      <c r="A29" s="25" t="s">
        <v>111</v>
      </c>
      <c r="B29" s="19" t="s">
        <v>480</v>
      </c>
      <c r="C29" s="163">
        <f>SUM(C30:C36)</f>
        <v>197329000</v>
      </c>
      <c r="D29" s="163">
        <f>SUM(D30:D36)</f>
        <v>222693906</v>
      </c>
      <c r="E29" s="199">
        <f>SUM(E30:E36)</f>
        <v>221476906</v>
      </c>
    </row>
    <row r="30" spans="1:5" s="52" customFormat="1" ht="12" customHeight="1">
      <c r="A30" s="187" t="s">
        <v>171</v>
      </c>
      <c r="B30" s="170" t="s">
        <v>481</v>
      </c>
      <c r="C30" s="159">
        <v>138679000</v>
      </c>
      <c r="D30" s="159">
        <v>145140467</v>
      </c>
      <c r="E30" s="95">
        <v>145140467</v>
      </c>
    </row>
    <row r="31" spans="1:5" s="52" customFormat="1" ht="12" customHeight="1">
      <c r="A31" s="188" t="s">
        <v>172</v>
      </c>
      <c r="B31" s="171" t="s">
        <v>482</v>
      </c>
      <c r="C31" s="158">
        <v>19000000</v>
      </c>
      <c r="D31" s="158">
        <v>19000000</v>
      </c>
      <c r="E31" s="94">
        <v>17692000</v>
      </c>
    </row>
    <row r="32" spans="1:5" s="52" customFormat="1" ht="12" customHeight="1">
      <c r="A32" s="188" t="s">
        <v>173</v>
      </c>
      <c r="B32" s="171" t="s">
        <v>483</v>
      </c>
      <c r="C32" s="158">
        <v>35000000</v>
      </c>
      <c r="D32" s="158">
        <v>51045335</v>
      </c>
      <c r="E32" s="94">
        <v>51045335</v>
      </c>
    </row>
    <row r="33" spans="1:5" s="52" customFormat="1" ht="12" customHeight="1">
      <c r="A33" s="188" t="s">
        <v>174</v>
      </c>
      <c r="B33" s="171" t="s">
        <v>484</v>
      </c>
      <c r="C33" s="158"/>
      <c r="D33" s="158"/>
      <c r="E33" s="94"/>
    </row>
    <row r="34" spans="1:5" s="52" customFormat="1" ht="12" customHeight="1">
      <c r="A34" s="188" t="s">
        <v>485</v>
      </c>
      <c r="B34" s="171" t="s">
        <v>175</v>
      </c>
      <c r="C34" s="158">
        <v>4000000</v>
      </c>
      <c r="D34" s="158">
        <v>5897111</v>
      </c>
      <c r="E34" s="94">
        <v>5897111</v>
      </c>
    </row>
    <row r="35" spans="1:5" s="52" customFormat="1" ht="12" customHeight="1">
      <c r="A35" s="188" t="s">
        <v>486</v>
      </c>
      <c r="B35" s="171" t="s">
        <v>176</v>
      </c>
      <c r="C35" s="158"/>
      <c r="D35" s="158"/>
      <c r="E35" s="94"/>
    </row>
    <row r="36" spans="1:5" s="52" customFormat="1" ht="12" customHeight="1" thickBot="1">
      <c r="A36" s="189" t="s">
        <v>487</v>
      </c>
      <c r="B36" s="317" t="s">
        <v>177</v>
      </c>
      <c r="C36" s="160">
        <v>650000</v>
      </c>
      <c r="D36" s="160">
        <v>1610993</v>
      </c>
      <c r="E36" s="96">
        <v>1701993</v>
      </c>
    </row>
    <row r="37" spans="1:5" s="52" customFormat="1" ht="12" customHeight="1" thickBot="1">
      <c r="A37" s="25" t="s">
        <v>10</v>
      </c>
      <c r="B37" s="19" t="s">
        <v>331</v>
      </c>
      <c r="C37" s="157">
        <f>SUM(C38:C48)</f>
        <v>3437343</v>
      </c>
      <c r="D37" s="241">
        <f>SUM(D38:D48)</f>
        <v>3442012</v>
      </c>
      <c r="E37" s="93">
        <f>SUM(E38:E48)</f>
        <v>3307971</v>
      </c>
    </row>
    <row r="38" spans="1:5" s="52" customFormat="1" ht="12" customHeight="1">
      <c r="A38" s="187" t="s">
        <v>57</v>
      </c>
      <c r="B38" s="170" t="s">
        <v>180</v>
      </c>
      <c r="C38" s="159"/>
      <c r="D38" s="242"/>
      <c r="E38" s="95"/>
    </row>
    <row r="39" spans="1:5" s="52" customFormat="1" ht="12" customHeight="1">
      <c r="A39" s="188" t="s">
        <v>58</v>
      </c>
      <c r="B39" s="171" t="s">
        <v>181</v>
      </c>
      <c r="C39" s="158"/>
      <c r="D39" s="243"/>
      <c r="E39" s="94">
        <v>0</v>
      </c>
    </row>
    <row r="40" spans="1:5" s="52" customFormat="1" ht="12" customHeight="1">
      <c r="A40" s="188" t="s">
        <v>59</v>
      </c>
      <c r="B40" s="171" t="s">
        <v>182</v>
      </c>
      <c r="C40" s="158">
        <v>2702684</v>
      </c>
      <c r="D40" s="243">
        <v>2702684</v>
      </c>
      <c r="E40" s="94">
        <v>2617742</v>
      </c>
    </row>
    <row r="41" spans="1:5" s="52" customFormat="1" ht="12" customHeight="1">
      <c r="A41" s="188" t="s">
        <v>113</v>
      </c>
      <c r="B41" s="171" t="s">
        <v>183</v>
      </c>
      <c r="C41" s="158"/>
      <c r="D41" s="243"/>
      <c r="E41" s="94"/>
    </row>
    <row r="42" spans="1:5" s="52" customFormat="1" ht="12" customHeight="1">
      <c r="A42" s="188" t="s">
        <v>114</v>
      </c>
      <c r="B42" s="171" t="s">
        <v>184</v>
      </c>
      <c r="C42" s="158"/>
      <c r="D42" s="243"/>
      <c r="E42" s="94"/>
    </row>
    <row r="43" spans="1:5" s="52" customFormat="1" ht="12" customHeight="1">
      <c r="A43" s="188" t="s">
        <v>115</v>
      </c>
      <c r="B43" s="171" t="s">
        <v>185</v>
      </c>
      <c r="C43" s="158">
        <v>684659</v>
      </c>
      <c r="D43" s="243">
        <v>684659</v>
      </c>
      <c r="E43" s="94">
        <v>684659</v>
      </c>
    </row>
    <row r="44" spans="1:5" s="52" customFormat="1" ht="12" customHeight="1">
      <c r="A44" s="188" t="s">
        <v>116</v>
      </c>
      <c r="B44" s="171" t="s">
        <v>186</v>
      </c>
      <c r="C44" s="158"/>
      <c r="D44" s="243"/>
      <c r="E44" s="94"/>
    </row>
    <row r="45" spans="1:5" s="52" customFormat="1" ht="12" customHeight="1">
      <c r="A45" s="188" t="s">
        <v>117</v>
      </c>
      <c r="B45" s="171" t="s">
        <v>488</v>
      </c>
      <c r="C45" s="158">
        <v>50000</v>
      </c>
      <c r="D45" s="243">
        <v>50000</v>
      </c>
      <c r="E45" s="94">
        <v>171</v>
      </c>
    </row>
    <row r="46" spans="1:5" s="52" customFormat="1" ht="12" customHeight="1">
      <c r="A46" s="188" t="s">
        <v>178</v>
      </c>
      <c r="B46" s="171" t="s">
        <v>188</v>
      </c>
      <c r="C46" s="161"/>
      <c r="D46" s="302">
        <v>4669</v>
      </c>
      <c r="E46" s="97">
        <v>5399</v>
      </c>
    </row>
    <row r="47" spans="1:5" s="52" customFormat="1" ht="12" customHeight="1">
      <c r="A47" s="189" t="s">
        <v>179</v>
      </c>
      <c r="B47" s="172" t="s">
        <v>333</v>
      </c>
      <c r="C47" s="162"/>
      <c r="D47" s="303"/>
      <c r="E47" s="98"/>
    </row>
    <row r="48" spans="1:5" s="52" customFormat="1" ht="12" customHeight="1" thickBot="1">
      <c r="A48" s="189" t="s">
        <v>332</v>
      </c>
      <c r="B48" s="172" t="s">
        <v>189</v>
      </c>
      <c r="C48" s="162"/>
      <c r="D48" s="303"/>
      <c r="E48" s="98"/>
    </row>
    <row r="49" spans="1:5" s="52" customFormat="1" ht="12" customHeight="1" thickBot="1">
      <c r="A49" s="25" t="s">
        <v>11</v>
      </c>
      <c r="B49" s="19" t="s">
        <v>190</v>
      </c>
      <c r="C49" s="157">
        <f>SUM(C50:C54)</f>
        <v>0</v>
      </c>
      <c r="D49" s="241">
        <f>SUM(D50:D54)</f>
        <v>0</v>
      </c>
      <c r="E49" s="93">
        <f>SUM(E50:E54)</f>
        <v>0</v>
      </c>
    </row>
    <row r="50" spans="1:5" s="52" customFormat="1" ht="12" customHeight="1">
      <c r="A50" s="187" t="s">
        <v>60</v>
      </c>
      <c r="B50" s="170" t="s">
        <v>194</v>
      </c>
      <c r="C50" s="210"/>
      <c r="D50" s="304"/>
      <c r="E50" s="99"/>
    </row>
    <row r="51" spans="1:5" s="52" customFormat="1" ht="12" customHeight="1">
      <c r="A51" s="188" t="s">
        <v>61</v>
      </c>
      <c r="B51" s="171" t="s">
        <v>195</v>
      </c>
      <c r="C51" s="161"/>
      <c r="D51" s="302"/>
      <c r="E51" s="97">
        <v>0</v>
      </c>
    </row>
    <row r="52" spans="1:5" s="52" customFormat="1" ht="12" customHeight="1">
      <c r="A52" s="188" t="s">
        <v>191</v>
      </c>
      <c r="B52" s="171" t="s">
        <v>196</v>
      </c>
      <c r="C52" s="161"/>
      <c r="D52" s="302"/>
      <c r="E52" s="97">
        <v>0</v>
      </c>
    </row>
    <row r="53" spans="1:5" s="52" customFormat="1" ht="12" customHeight="1">
      <c r="A53" s="188" t="s">
        <v>192</v>
      </c>
      <c r="B53" s="171" t="s">
        <v>197</v>
      </c>
      <c r="C53" s="161"/>
      <c r="D53" s="302"/>
      <c r="E53" s="97"/>
    </row>
    <row r="54" spans="1:5" s="52" customFormat="1" ht="12" customHeight="1" thickBot="1">
      <c r="A54" s="189" t="s">
        <v>193</v>
      </c>
      <c r="B54" s="172" t="s">
        <v>198</v>
      </c>
      <c r="C54" s="162"/>
      <c r="D54" s="303"/>
      <c r="E54" s="98"/>
    </row>
    <row r="55" spans="1:5" s="52" customFormat="1" ht="12" customHeight="1" thickBot="1">
      <c r="A55" s="25" t="s">
        <v>118</v>
      </c>
      <c r="B55" s="19" t="s">
        <v>199</v>
      </c>
      <c r="C55" s="157">
        <f>SUM(C56:C58)</f>
        <v>982365</v>
      </c>
      <c r="D55" s="241">
        <f>SUM(D56:D58)</f>
        <v>243737</v>
      </c>
      <c r="E55" s="93">
        <f>SUM(E56:E58)</f>
        <v>243737</v>
      </c>
    </row>
    <row r="56" spans="1:5" s="52" customFormat="1" ht="12" customHeight="1">
      <c r="A56" s="187" t="s">
        <v>62</v>
      </c>
      <c r="B56" s="170" t="s">
        <v>200</v>
      </c>
      <c r="C56" s="159"/>
      <c r="D56" s="242"/>
      <c r="E56" s="95"/>
    </row>
    <row r="57" spans="1:5" s="52" customFormat="1" ht="12" customHeight="1">
      <c r="A57" s="188" t="s">
        <v>63</v>
      </c>
      <c r="B57" s="171" t="s">
        <v>325</v>
      </c>
      <c r="C57" s="158">
        <v>982365</v>
      </c>
      <c r="D57" s="243">
        <v>42000</v>
      </c>
      <c r="E57" s="94">
        <v>42000</v>
      </c>
    </row>
    <row r="58" spans="1:5" s="52" customFormat="1" ht="12" customHeight="1">
      <c r="A58" s="188" t="s">
        <v>203</v>
      </c>
      <c r="B58" s="171" t="s">
        <v>201</v>
      </c>
      <c r="C58" s="158"/>
      <c r="D58" s="243">
        <v>201737</v>
      </c>
      <c r="E58" s="94">
        <v>201737</v>
      </c>
    </row>
    <row r="59" spans="1:5" s="52" customFormat="1" ht="12" customHeight="1" thickBot="1">
      <c r="A59" s="189" t="s">
        <v>204</v>
      </c>
      <c r="B59" s="172" t="s">
        <v>202</v>
      </c>
      <c r="C59" s="160"/>
      <c r="D59" s="244"/>
      <c r="E59" s="96"/>
    </row>
    <row r="60" spans="1:5" s="52" customFormat="1" ht="12" customHeight="1" thickBot="1">
      <c r="A60" s="25" t="s">
        <v>13</v>
      </c>
      <c r="B60" s="100" t="s">
        <v>205</v>
      </c>
      <c r="C60" s="157">
        <f>SUM(C61:C63)</f>
        <v>0</v>
      </c>
      <c r="D60" s="241">
        <f>SUM(D61:D63)</f>
        <v>3906518</v>
      </c>
      <c r="E60" s="93">
        <f>SUM(E61:E63)</f>
        <v>3622195</v>
      </c>
    </row>
    <row r="61" spans="1:5" s="52" customFormat="1" ht="12" customHeight="1">
      <c r="A61" s="187" t="s">
        <v>119</v>
      </c>
      <c r="B61" s="170" t="s">
        <v>207</v>
      </c>
      <c r="C61" s="161"/>
      <c r="D61" s="302"/>
      <c r="E61" s="97"/>
    </row>
    <row r="62" spans="1:5" s="52" customFormat="1" ht="12" customHeight="1">
      <c r="A62" s="188" t="s">
        <v>120</v>
      </c>
      <c r="B62" s="171" t="s">
        <v>326</v>
      </c>
      <c r="C62" s="161">
        <v>0</v>
      </c>
      <c r="D62" s="302">
        <v>2056518</v>
      </c>
      <c r="E62" s="97">
        <v>2022195</v>
      </c>
    </row>
    <row r="63" spans="1:5" s="52" customFormat="1" ht="12" customHeight="1">
      <c r="A63" s="188" t="s">
        <v>139</v>
      </c>
      <c r="B63" s="171" t="s">
        <v>208</v>
      </c>
      <c r="C63" s="161">
        <v>0</v>
      </c>
      <c r="D63" s="302">
        <v>1850000</v>
      </c>
      <c r="E63" s="97">
        <v>1600000</v>
      </c>
    </row>
    <row r="64" spans="1:5" s="52" customFormat="1" ht="12" customHeight="1" thickBot="1">
      <c r="A64" s="189" t="s">
        <v>206</v>
      </c>
      <c r="B64" s="172" t="s">
        <v>209</v>
      </c>
      <c r="C64" s="161"/>
      <c r="D64" s="302"/>
      <c r="E64" s="97"/>
    </row>
    <row r="65" spans="1:5" s="52" customFormat="1" ht="12" customHeight="1" thickBot="1">
      <c r="A65" s="25" t="s">
        <v>14</v>
      </c>
      <c r="B65" s="19" t="s">
        <v>210</v>
      </c>
      <c r="C65" s="163">
        <f>+C8+C15+C22+C29+C37+C49+C55+C60</f>
        <v>479185909</v>
      </c>
      <c r="D65" s="245">
        <f>+D8+D15+D22+D29+D37+D49+D55+D60</f>
        <v>482894501</v>
      </c>
      <c r="E65" s="199">
        <f>+E8+E15+E22+E29+E37+E49+E55+E60</f>
        <v>485238148</v>
      </c>
    </row>
    <row r="66" spans="1:5" s="52" customFormat="1" ht="12" customHeight="1" thickBot="1">
      <c r="A66" s="190" t="s">
        <v>295</v>
      </c>
      <c r="B66" s="100" t="s">
        <v>212</v>
      </c>
      <c r="C66" s="157">
        <f>SUM(C67:C69)</f>
        <v>0</v>
      </c>
      <c r="D66" s="241">
        <f>SUM(D67:D69)</f>
        <v>0</v>
      </c>
      <c r="E66" s="93">
        <f>SUM(E67:E69)</f>
        <v>0</v>
      </c>
    </row>
    <row r="67" spans="1:5" s="52" customFormat="1" ht="12" customHeight="1">
      <c r="A67" s="187" t="s">
        <v>240</v>
      </c>
      <c r="B67" s="170" t="s">
        <v>213</v>
      </c>
      <c r="C67" s="161"/>
      <c r="D67" s="302"/>
      <c r="E67" s="97"/>
    </row>
    <row r="68" spans="1:5" s="52" customFormat="1" ht="12" customHeight="1">
      <c r="A68" s="188" t="s">
        <v>249</v>
      </c>
      <c r="B68" s="171" t="s">
        <v>214</v>
      </c>
      <c r="C68" s="161"/>
      <c r="D68" s="302"/>
      <c r="E68" s="97"/>
    </row>
    <row r="69" spans="1:5" s="52" customFormat="1" ht="12" customHeight="1" thickBot="1">
      <c r="A69" s="197" t="s">
        <v>250</v>
      </c>
      <c r="B69" s="371" t="s">
        <v>215</v>
      </c>
      <c r="C69" s="372"/>
      <c r="D69" s="305"/>
      <c r="E69" s="373"/>
    </row>
    <row r="70" spans="1:5" s="52" customFormat="1" ht="12" customHeight="1" thickBot="1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2" customFormat="1" ht="12" customHeight="1">
      <c r="A71" s="187" t="s">
        <v>97</v>
      </c>
      <c r="B71" s="354" t="s">
        <v>218</v>
      </c>
      <c r="C71" s="161"/>
      <c r="D71" s="161"/>
      <c r="E71" s="97"/>
    </row>
    <row r="72" spans="1:5" s="52" customFormat="1" ht="12" customHeight="1">
      <c r="A72" s="188" t="s">
        <v>98</v>
      </c>
      <c r="B72" s="354" t="s">
        <v>495</v>
      </c>
      <c r="C72" s="161"/>
      <c r="D72" s="161"/>
      <c r="E72" s="97"/>
    </row>
    <row r="73" spans="1:5" s="52" customFormat="1" ht="12" customHeight="1">
      <c r="A73" s="188" t="s">
        <v>241</v>
      </c>
      <c r="B73" s="354" t="s">
        <v>219</v>
      </c>
      <c r="C73" s="161"/>
      <c r="D73" s="161"/>
      <c r="E73" s="97"/>
    </row>
    <row r="74" spans="1:5" s="52" customFormat="1" ht="12" customHeight="1" thickBot="1">
      <c r="A74" s="189" t="s">
        <v>242</v>
      </c>
      <c r="B74" s="355" t="s">
        <v>496</v>
      </c>
      <c r="C74" s="161"/>
      <c r="D74" s="161"/>
      <c r="E74" s="97"/>
    </row>
    <row r="75" spans="1:5" s="52" customFormat="1" ht="12" customHeight="1" thickBot="1">
      <c r="A75" s="190" t="s">
        <v>220</v>
      </c>
      <c r="B75" s="100" t="s">
        <v>221</v>
      </c>
      <c r="C75" s="157">
        <f>SUM(C76:C77)</f>
        <v>123445714</v>
      </c>
      <c r="D75" s="157">
        <f>SUM(D76:D77)</f>
        <v>159174120</v>
      </c>
      <c r="E75" s="93">
        <f>SUM(E76:E77)</f>
        <v>159174120</v>
      </c>
    </row>
    <row r="76" spans="1:5" s="52" customFormat="1" ht="12" customHeight="1">
      <c r="A76" s="187" t="s">
        <v>243</v>
      </c>
      <c r="B76" s="170" t="s">
        <v>222</v>
      </c>
      <c r="C76" s="161">
        <v>123445714</v>
      </c>
      <c r="D76" s="161">
        <v>159174120</v>
      </c>
      <c r="E76" s="97">
        <v>159174120</v>
      </c>
    </row>
    <row r="77" spans="1:5" s="52" customFormat="1" ht="12" customHeight="1" thickBot="1">
      <c r="A77" s="189" t="s">
        <v>244</v>
      </c>
      <c r="B77" s="172" t="s">
        <v>223</v>
      </c>
      <c r="C77" s="161"/>
      <c r="D77" s="161"/>
      <c r="E77" s="97"/>
    </row>
    <row r="78" spans="1:5" s="51" customFormat="1" ht="12" customHeight="1" thickBot="1">
      <c r="A78" s="190" t="s">
        <v>224</v>
      </c>
      <c r="B78" s="100" t="s">
        <v>225</v>
      </c>
      <c r="C78" s="157">
        <f>SUM(C79:C81)</f>
        <v>0</v>
      </c>
      <c r="D78" s="157">
        <f>SUM(D79:D81)</f>
        <v>13176869</v>
      </c>
      <c r="E78" s="93">
        <f>SUM(E79:E81)</f>
        <v>13176869</v>
      </c>
    </row>
    <row r="79" spans="1:5" s="52" customFormat="1" ht="12" customHeight="1">
      <c r="A79" s="187" t="s">
        <v>245</v>
      </c>
      <c r="B79" s="170" t="s">
        <v>226</v>
      </c>
      <c r="C79" s="161"/>
      <c r="D79" s="161">
        <v>13176869</v>
      </c>
      <c r="E79" s="97">
        <v>13176869</v>
      </c>
    </row>
    <row r="80" spans="1:5" s="52" customFormat="1" ht="12" customHeight="1">
      <c r="A80" s="188" t="s">
        <v>246</v>
      </c>
      <c r="B80" s="171" t="s">
        <v>227</v>
      </c>
      <c r="C80" s="161"/>
      <c r="D80" s="161"/>
      <c r="E80" s="97"/>
    </row>
    <row r="81" spans="1:5" s="52" customFormat="1" ht="12" customHeight="1" thickBot="1">
      <c r="A81" s="189" t="s">
        <v>247</v>
      </c>
      <c r="B81" s="172" t="s">
        <v>497</v>
      </c>
      <c r="C81" s="161"/>
      <c r="D81" s="161"/>
      <c r="E81" s="97"/>
    </row>
    <row r="82" spans="1:5" s="52" customFormat="1" ht="12" customHeight="1" thickBot="1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2" customFormat="1" ht="12" customHeight="1">
      <c r="A83" s="191" t="s">
        <v>229</v>
      </c>
      <c r="B83" s="170" t="s">
        <v>230</v>
      </c>
      <c r="C83" s="161"/>
      <c r="D83" s="161"/>
      <c r="E83" s="97"/>
    </row>
    <row r="84" spans="1:5" s="52" customFormat="1" ht="12" customHeight="1">
      <c r="A84" s="192" t="s">
        <v>231</v>
      </c>
      <c r="B84" s="171" t="s">
        <v>232</v>
      </c>
      <c r="C84" s="161"/>
      <c r="D84" s="161"/>
      <c r="E84" s="97"/>
    </row>
    <row r="85" spans="1:5" s="52" customFormat="1" ht="12" customHeight="1">
      <c r="A85" s="192" t="s">
        <v>233</v>
      </c>
      <c r="B85" s="171" t="s">
        <v>234</v>
      </c>
      <c r="C85" s="161"/>
      <c r="D85" s="161"/>
      <c r="E85" s="97"/>
    </row>
    <row r="86" spans="1:5" s="51" customFormat="1" ht="12" customHeight="1" thickBot="1">
      <c r="A86" s="193" t="s">
        <v>235</v>
      </c>
      <c r="B86" s="172" t="s">
        <v>236</v>
      </c>
      <c r="C86" s="161"/>
      <c r="D86" s="161"/>
      <c r="E86" s="97"/>
    </row>
    <row r="87" spans="1:5" s="51" customFormat="1" ht="12" customHeight="1" thickBot="1">
      <c r="A87" s="190" t="s">
        <v>237</v>
      </c>
      <c r="B87" s="100" t="s">
        <v>372</v>
      </c>
      <c r="C87" s="213"/>
      <c r="D87" s="213"/>
      <c r="E87" s="214"/>
    </row>
    <row r="88" spans="1:5" s="51" customFormat="1" ht="12" customHeight="1" thickBot="1">
      <c r="A88" s="190" t="s">
        <v>390</v>
      </c>
      <c r="B88" s="100" t="s">
        <v>238</v>
      </c>
      <c r="C88" s="213"/>
      <c r="D88" s="213"/>
      <c r="E88" s="214"/>
    </row>
    <row r="89" spans="1:5" s="51" customFormat="1" ht="12" customHeight="1" thickBot="1">
      <c r="A89" s="190" t="s">
        <v>391</v>
      </c>
      <c r="B89" s="177" t="s">
        <v>375</v>
      </c>
      <c r="C89" s="163">
        <f>+C66+C70+C75+C78+C82+C88+C87</f>
        <v>123445714</v>
      </c>
      <c r="D89" s="163">
        <f>+D66+D70+D75+D78+D82+D88+D87</f>
        <v>172350989</v>
      </c>
      <c r="E89" s="199">
        <f>+E66+E70+E75+E78+E82+E88+E87</f>
        <v>172350989</v>
      </c>
    </row>
    <row r="90" spans="1:5" s="51" customFormat="1" ht="12" customHeight="1" thickBot="1">
      <c r="A90" s="194" t="s">
        <v>392</v>
      </c>
      <c r="B90" s="178" t="s">
        <v>393</v>
      </c>
      <c r="C90" s="163">
        <f>+C65+C89</f>
        <v>602631623</v>
      </c>
      <c r="D90" s="163">
        <f>+D65+D89</f>
        <v>655245490</v>
      </c>
      <c r="E90" s="199">
        <f>+E65+E89</f>
        <v>657589137</v>
      </c>
    </row>
    <row r="91" spans="1:3" s="52" customFormat="1" ht="15" customHeight="1" thickBot="1">
      <c r="A91" s="83"/>
      <c r="B91" s="84"/>
      <c r="C91" s="139"/>
    </row>
    <row r="92" spans="1:5" s="45" customFormat="1" ht="16.5" customHeight="1" thickBot="1">
      <c r="A92" s="799" t="s">
        <v>41</v>
      </c>
      <c r="B92" s="800"/>
      <c r="C92" s="800"/>
      <c r="D92" s="800"/>
      <c r="E92" s="801"/>
    </row>
    <row r="93" spans="1:5" s="53" customFormat="1" ht="12" customHeight="1" thickBot="1">
      <c r="A93" s="164" t="s">
        <v>6</v>
      </c>
      <c r="B93" s="24" t="s">
        <v>397</v>
      </c>
      <c r="C93" s="156">
        <f>+C94+C95+C96+C97+C98+C111</f>
        <v>151233821</v>
      </c>
      <c r="D93" s="156">
        <f>+D94+D95+D96+D97+D98+D111</f>
        <v>209971406</v>
      </c>
      <c r="E93" s="224">
        <f>+E94+E95+E96+E97+E98+E111</f>
        <v>139024260</v>
      </c>
    </row>
    <row r="94" spans="1:5" ht="12" customHeight="1">
      <c r="A94" s="195" t="s">
        <v>64</v>
      </c>
      <c r="B94" s="8" t="s">
        <v>35</v>
      </c>
      <c r="C94" s="231">
        <v>11922870</v>
      </c>
      <c r="D94" s="231">
        <v>14764148</v>
      </c>
      <c r="E94" s="225">
        <v>13243535</v>
      </c>
    </row>
    <row r="95" spans="1:5" ht="12" customHeight="1">
      <c r="A95" s="188" t="s">
        <v>65</v>
      </c>
      <c r="B95" s="6" t="s">
        <v>121</v>
      </c>
      <c r="C95" s="158">
        <v>2602353</v>
      </c>
      <c r="D95" s="158">
        <v>2740631</v>
      </c>
      <c r="E95" s="94">
        <v>2520867</v>
      </c>
    </row>
    <row r="96" spans="1:5" ht="12" customHeight="1">
      <c r="A96" s="188" t="s">
        <v>66</v>
      </c>
      <c r="B96" s="6" t="s">
        <v>92</v>
      </c>
      <c r="C96" s="160">
        <v>39638421</v>
      </c>
      <c r="D96" s="158">
        <v>45894934</v>
      </c>
      <c r="E96" s="96">
        <v>42245600</v>
      </c>
    </row>
    <row r="97" spans="1:5" ht="12" customHeight="1">
      <c r="A97" s="188" t="s">
        <v>67</v>
      </c>
      <c r="B97" s="9" t="s">
        <v>122</v>
      </c>
      <c r="C97" s="160">
        <v>5300000</v>
      </c>
      <c r="D97" s="244">
        <v>5300000</v>
      </c>
      <c r="E97" s="96">
        <v>3851370</v>
      </c>
    </row>
    <row r="98" spans="1:5" ht="12" customHeight="1">
      <c r="A98" s="188" t="s">
        <v>76</v>
      </c>
      <c r="B98" s="17" t="s">
        <v>123</v>
      </c>
      <c r="C98" s="160">
        <v>68346835</v>
      </c>
      <c r="D98" s="244">
        <v>78463218</v>
      </c>
      <c r="E98" s="96">
        <v>77162888</v>
      </c>
    </row>
    <row r="99" spans="1:5" ht="12" customHeight="1">
      <c r="A99" s="188" t="s">
        <v>68</v>
      </c>
      <c r="B99" s="6" t="s">
        <v>394</v>
      </c>
      <c r="C99" s="160">
        <v>1239822</v>
      </c>
      <c r="D99" s="244"/>
      <c r="E99" s="96"/>
    </row>
    <row r="100" spans="1:5" ht="12" customHeight="1">
      <c r="A100" s="188" t="s">
        <v>69</v>
      </c>
      <c r="B100" s="63" t="s">
        <v>338</v>
      </c>
      <c r="C100" s="160"/>
      <c r="D100" s="244"/>
      <c r="E100" s="96"/>
    </row>
    <row r="101" spans="1:5" ht="12" customHeight="1">
      <c r="A101" s="188" t="s">
        <v>77</v>
      </c>
      <c r="B101" s="63" t="s">
        <v>337</v>
      </c>
      <c r="C101" s="160"/>
      <c r="D101" s="244">
        <v>1435360</v>
      </c>
      <c r="E101" s="96">
        <v>1435030</v>
      </c>
    </row>
    <row r="102" spans="1:5" ht="12" customHeight="1">
      <c r="A102" s="188" t="s">
        <v>78</v>
      </c>
      <c r="B102" s="63" t="s">
        <v>254</v>
      </c>
      <c r="C102" s="160"/>
      <c r="D102" s="244"/>
      <c r="E102" s="96"/>
    </row>
    <row r="103" spans="1:5" ht="12" customHeight="1">
      <c r="A103" s="188" t="s">
        <v>79</v>
      </c>
      <c r="B103" s="64" t="s">
        <v>255</v>
      </c>
      <c r="C103" s="160"/>
      <c r="D103" s="244"/>
      <c r="E103" s="96"/>
    </row>
    <row r="104" spans="1:5" ht="12" customHeight="1">
      <c r="A104" s="188" t="s">
        <v>80</v>
      </c>
      <c r="B104" s="64" t="s">
        <v>256</v>
      </c>
      <c r="C104" s="160"/>
      <c r="D104" s="244"/>
      <c r="E104" s="96"/>
    </row>
    <row r="105" spans="1:5" ht="12" customHeight="1">
      <c r="A105" s="188" t="s">
        <v>82</v>
      </c>
      <c r="B105" s="63" t="s">
        <v>257</v>
      </c>
      <c r="C105" s="160">
        <v>48225000</v>
      </c>
      <c r="D105" s="244">
        <v>49033858</v>
      </c>
      <c r="E105" s="96">
        <v>48853858</v>
      </c>
    </row>
    <row r="106" spans="1:5" ht="12" customHeight="1">
      <c r="A106" s="188" t="s">
        <v>124</v>
      </c>
      <c r="B106" s="63" t="s">
        <v>258</v>
      </c>
      <c r="C106" s="160"/>
      <c r="D106" s="244"/>
      <c r="E106" s="96"/>
    </row>
    <row r="107" spans="1:5" ht="12" customHeight="1">
      <c r="A107" s="188" t="s">
        <v>252</v>
      </c>
      <c r="B107" s="64" t="s">
        <v>259</v>
      </c>
      <c r="C107" s="158"/>
      <c r="D107" s="244"/>
      <c r="E107" s="96"/>
    </row>
    <row r="108" spans="1:5" ht="12" customHeight="1">
      <c r="A108" s="196" t="s">
        <v>253</v>
      </c>
      <c r="B108" s="65" t="s">
        <v>260</v>
      </c>
      <c r="C108" s="160"/>
      <c r="D108" s="244"/>
      <c r="E108" s="96"/>
    </row>
    <row r="109" spans="1:5" ht="12" customHeight="1">
      <c r="A109" s="188" t="s">
        <v>335</v>
      </c>
      <c r="B109" s="65" t="s">
        <v>261</v>
      </c>
      <c r="C109" s="160"/>
      <c r="D109" s="244"/>
      <c r="E109" s="96"/>
    </row>
    <row r="110" spans="1:5" ht="12" customHeight="1">
      <c r="A110" s="188" t="s">
        <v>336</v>
      </c>
      <c r="B110" s="64" t="s">
        <v>262</v>
      </c>
      <c r="C110" s="158">
        <v>18882013</v>
      </c>
      <c r="D110" s="243">
        <v>27952000</v>
      </c>
      <c r="E110" s="94">
        <v>26874000</v>
      </c>
    </row>
    <row r="111" spans="1:5" ht="12" customHeight="1">
      <c r="A111" s="188" t="s">
        <v>340</v>
      </c>
      <c r="B111" s="9" t="s">
        <v>36</v>
      </c>
      <c r="C111" s="158">
        <v>23423342</v>
      </c>
      <c r="D111" s="243">
        <v>62808475</v>
      </c>
      <c r="E111" s="94"/>
    </row>
    <row r="112" spans="1:5" ht="12" customHeight="1">
      <c r="A112" s="189" t="s">
        <v>341</v>
      </c>
      <c r="B112" s="6" t="s">
        <v>395</v>
      </c>
      <c r="C112" s="160">
        <v>16584253</v>
      </c>
      <c r="D112" s="244">
        <v>55565549</v>
      </c>
      <c r="E112" s="96"/>
    </row>
    <row r="113" spans="1:5" ht="12" customHeight="1" thickBot="1">
      <c r="A113" s="197" t="s">
        <v>342</v>
      </c>
      <c r="B113" s="66" t="s">
        <v>396</v>
      </c>
      <c r="C113" s="232">
        <v>6839089</v>
      </c>
      <c r="D113" s="308">
        <v>7242926</v>
      </c>
      <c r="E113" s="226"/>
    </row>
    <row r="114" spans="1:5" ht="12" customHeight="1" thickBot="1">
      <c r="A114" s="25" t="s">
        <v>7</v>
      </c>
      <c r="B114" s="23" t="s">
        <v>263</v>
      </c>
      <c r="C114" s="157">
        <f>+C115+C117+C119</f>
        <v>154878268</v>
      </c>
      <c r="D114" s="241">
        <f>+D115+D117+D119</f>
        <v>132740198</v>
      </c>
      <c r="E114" s="93">
        <f>+E115+E117+E119</f>
        <v>79021904</v>
      </c>
    </row>
    <row r="115" spans="1:5" ht="12" customHeight="1">
      <c r="A115" s="187" t="s">
        <v>70</v>
      </c>
      <c r="B115" s="6" t="s">
        <v>138</v>
      </c>
      <c r="C115" s="159">
        <v>83867113</v>
      </c>
      <c r="D115" s="242">
        <v>81461838</v>
      </c>
      <c r="E115" s="95">
        <v>54094979</v>
      </c>
    </row>
    <row r="116" spans="1:5" ht="12" customHeight="1">
      <c r="A116" s="187" t="s">
        <v>71</v>
      </c>
      <c r="B116" s="10" t="s">
        <v>267</v>
      </c>
      <c r="C116" s="159">
        <v>68814684</v>
      </c>
      <c r="D116" s="242">
        <v>68814684</v>
      </c>
      <c r="E116" s="95">
        <v>45463345</v>
      </c>
    </row>
    <row r="117" spans="1:5" ht="12" customHeight="1">
      <c r="A117" s="187" t="s">
        <v>72</v>
      </c>
      <c r="B117" s="10" t="s">
        <v>125</v>
      </c>
      <c r="C117" s="158">
        <v>71011155</v>
      </c>
      <c r="D117" s="243">
        <v>51278360</v>
      </c>
      <c r="E117" s="94">
        <v>24926925</v>
      </c>
    </row>
    <row r="118" spans="1:5" ht="12" customHeight="1">
      <c r="A118" s="187" t="s">
        <v>73</v>
      </c>
      <c r="B118" s="10" t="s">
        <v>268</v>
      </c>
      <c r="C118" s="158"/>
      <c r="D118" s="243"/>
      <c r="E118" s="94"/>
    </row>
    <row r="119" spans="1:5" ht="12" customHeight="1">
      <c r="A119" s="187" t="s">
        <v>74</v>
      </c>
      <c r="B119" s="102" t="s">
        <v>140</v>
      </c>
      <c r="C119" s="158"/>
      <c r="D119" s="243"/>
      <c r="E119" s="94"/>
    </row>
    <row r="120" spans="1:5" ht="12" customHeight="1">
      <c r="A120" s="187" t="s">
        <v>81</v>
      </c>
      <c r="B120" s="101" t="s">
        <v>327</v>
      </c>
      <c r="C120" s="158"/>
      <c r="D120" s="243"/>
      <c r="E120" s="94"/>
    </row>
    <row r="121" spans="1:5" ht="12" customHeight="1">
      <c r="A121" s="187" t="s">
        <v>83</v>
      </c>
      <c r="B121" s="166" t="s">
        <v>273</v>
      </c>
      <c r="C121" s="158"/>
      <c r="D121" s="243"/>
      <c r="E121" s="94"/>
    </row>
    <row r="122" spans="1:5" ht="12" customHeight="1">
      <c r="A122" s="187" t="s">
        <v>126</v>
      </c>
      <c r="B122" s="64" t="s">
        <v>256</v>
      </c>
      <c r="C122" s="158"/>
      <c r="D122" s="243"/>
      <c r="E122" s="94"/>
    </row>
    <row r="123" spans="1:5" ht="12" customHeight="1">
      <c r="A123" s="187" t="s">
        <v>127</v>
      </c>
      <c r="B123" s="64" t="s">
        <v>272</v>
      </c>
      <c r="C123" s="158"/>
      <c r="D123" s="243"/>
      <c r="E123" s="94"/>
    </row>
    <row r="124" spans="1:5" ht="12" customHeight="1">
      <c r="A124" s="187" t="s">
        <v>128</v>
      </c>
      <c r="B124" s="64" t="s">
        <v>271</v>
      </c>
      <c r="C124" s="158"/>
      <c r="D124" s="243"/>
      <c r="E124" s="94"/>
    </row>
    <row r="125" spans="1:5" ht="12" customHeight="1">
      <c r="A125" s="187" t="s">
        <v>264</v>
      </c>
      <c r="B125" s="64" t="s">
        <v>259</v>
      </c>
      <c r="C125" s="158"/>
      <c r="D125" s="243"/>
      <c r="E125" s="94"/>
    </row>
    <row r="126" spans="1:5" ht="12" customHeight="1">
      <c r="A126" s="187" t="s">
        <v>265</v>
      </c>
      <c r="B126" s="64" t="s">
        <v>270</v>
      </c>
      <c r="C126" s="158"/>
      <c r="D126" s="243"/>
      <c r="E126" s="94"/>
    </row>
    <row r="127" spans="1:5" ht="12" customHeight="1" thickBot="1">
      <c r="A127" s="196" t="s">
        <v>266</v>
      </c>
      <c r="B127" s="64" t="s">
        <v>269</v>
      </c>
      <c r="C127" s="160"/>
      <c r="D127" s="244"/>
      <c r="E127" s="96"/>
    </row>
    <row r="128" spans="1:5" ht="12" customHeight="1" thickBot="1">
      <c r="A128" s="25" t="s">
        <v>8</v>
      </c>
      <c r="B128" s="57" t="s">
        <v>345</v>
      </c>
      <c r="C128" s="157">
        <f>+C93+C114</f>
        <v>306112089</v>
      </c>
      <c r="D128" s="241">
        <f>+D93+D114</f>
        <v>342711604</v>
      </c>
      <c r="E128" s="93">
        <f>+E93+E114</f>
        <v>218046164</v>
      </c>
    </row>
    <row r="129" spans="1:5" ht="12" customHeight="1" thickBot="1">
      <c r="A129" s="25" t="s">
        <v>9</v>
      </c>
      <c r="B129" s="57" t="s">
        <v>346</v>
      </c>
      <c r="C129" s="157">
        <f>+C130+C131+C132</f>
        <v>0</v>
      </c>
      <c r="D129" s="241">
        <f>+D130+D131+D132</f>
        <v>0</v>
      </c>
      <c r="E129" s="93">
        <f>+E130+E131+E132</f>
        <v>0</v>
      </c>
    </row>
    <row r="130" spans="1:5" s="53" customFormat="1" ht="12" customHeight="1">
      <c r="A130" s="187" t="s">
        <v>171</v>
      </c>
      <c r="B130" s="7" t="s">
        <v>400</v>
      </c>
      <c r="C130" s="158"/>
      <c r="D130" s="243"/>
      <c r="E130" s="94"/>
    </row>
    <row r="131" spans="1:5" ht="12" customHeight="1">
      <c r="A131" s="187" t="s">
        <v>172</v>
      </c>
      <c r="B131" s="7" t="s">
        <v>354</v>
      </c>
      <c r="C131" s="158"/>
      <c r="D131" s="243"/>
      <c r="E131" s="94"/>
    </row>
    <row r="132" spans="1:5" ht="12" customHeight="1" thickBot="1">
      <c r="A132" s="196" t="s">
        <v>173</v>
      </c>
      <c r="B132" s="5" t="s">
        <v>399</v>
      </c>
      <c r="C132" s="158"/>
      <c r="D132" s="243"/>
      <c r="E132" s="94"/>
    </row>
    <row r="133" spans="1:5" ht="12" customHeight="1" thickBot="1">
      <c r="A133" s="25" t="s">
        <v>10</v>
      </c>
      <c r="B133" s="57" t="s">
        <v>347</v>
      </c>
      <c r="C133" s="157">
        <f>+C134+C135+C136+C137+C138+C139</f>
        <v>0</v>
      </c>
      <c r="D133" s="241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356</v>
      </c>
      <c r="C134" s="158"/>
      <c r="D134" s="243"/>
      <c r="E134" s="94"/>
    </row>
    <row r="135" spans="1:5" ht="12" customHeight="1">
      <c r="A135" s="187" t="s">
        <v>58</v>
      </c>
      <c r="B135" s="7" t="s">
        <v>348</v>
      </c>
      <c r="C135" s="158"/>
      <c r="D135" s="243"/>
      <c r="E135" s="94"/>
    </row>
    <row r="136" spans="1:5" ht="12" customHeight="1">
      <c r="A136" s="187" t="s">
        <v>59</v>
      </c>
      <c r="B136" s="7" t="s">
        <v>349</v>
      </c>
      <c r="C136" s="158"/>
      <c r="D136" s="243"/>
      <c r="E136" s="94"/>
    </row>
    <row r="137" spans="1:5" ht="12" customHeight="1">
      <c r="A137" s="187" t="s">
        <v>113</v>
      </c>
      <c r="B137" s="7" t="s">
        <v>398</v>
      </c>
      <c r="C137" s="158"/>
      <c r="D137" s="243"/>
      <c r="E137" s="94"/>
    </row>
    <row r="138" spans="1:5" ht="12" customHeight="1">
      <c r="A138" s="187" t="s">
        <v>114</v>
      </c>
      <c r="B138" s="7" t="s">
        <v>351</v>
      </c>
      <c r="C138" s="158"/>
      <c r="D138" s="243"/>
      <c r="E138" s="94"/>
    </row>
    <row r="139" spans="1:5" s="53" customFormat="1" ht="12" customHeight="1" thickBot="1">
      <c r="A139" s="196" t="s">
        <v>115</v>
      </c>
      <c r="B139" s="5" t="s">
        <v>352</v>
      </c>
      <c r="C139" s="158"/>
      <c r="D139" s="243"/>
      <c r="E139" s="94"/>
    </row>
    <row r="140" spans="1:5" ht="12" customHeight="1" thickBot="1">
      <c r="A140" s="25" t="s">
        <v>11</v>
      </c>
      <c r="B140" s="57" t="s">
        <v>413</v>
      </c>
      <c r="C140" s="163">
        <f>+C141+C142+C144+C145+C143</f>
        <v>312539699</v>
      </c>
      <c r="D140" s="245">
        <f>+D141+D142+D144+D145+D143</f>
        <v>336363036</v>
      </c>
      <c r="E140" s="199">
        <f>+E141+E142+E144+E145+E143</f>
        <v>288049810</v>
      </c>
    </row>
    <row r="141" spans="1:5" ht="12.75">
      <c r="A141" s="187" t="s">
        <v>60</v>
      </c>
      <c r="B141" s="7" t="s">
        <v>274</v>
      </c>
      <c r="C141" s="158"/>
      <c r="D141" s="243"/>
      <c r="E141" s="94"/>
    </row>
    <row r="142" spans="1:5" ht="12" customHeight="1">
      <c r="A142" s="187" t="s">
        <v>61</v>
      </c>
      <c r="B142" s="7" t="s">
        <v>275</v>
      </c>
      <c r="C142" s="158">
        <v>4112627</v>
      </c>
      <c r="D142" s="243">
        <v>13230398</v>
      </c>
      <c r="E142" s="94">
        <v>13230398</v>
      </c>
    </row>
    <row r="143" spans="1:5" ht="12" customHeight="1">
      <c r="A143" s="187" t="s">
        <v>191</v>
      </c>
      <c r="B143" s="7" t="s">
        <v>412</v>
      </c>
      <c r="C143" s="158">
        <v>308427072</v>
      </c>
      <c r="D143" s="243">
        <v>323132638</v>
      </c>
      <c r="E143" s="94">
        <v>274819412</v>
      </c>
    </row>
    <row r="144" spans="1:5" s="53" customFormat="1" ht="12" customHeight="1">
      <c r="A144" s="187" t="s">
        <v>192</v>
      </c>
      <c r="B144" s="7" t="s">
        <v>361</v>
      </c>
      <c r="C144" s="158"/>
      <c r="D144" s="243"/>
      <c r="E144" s="94"/>
    </row>
    <row r="145" spans="1:5" s="53" customFormat="1" ht="12" customHeight="1" thickBot="1">
      <c r="A145" s="196" t="s">
        <v>193</v>
      </c>
      <c r="B145" s="5" t="s">
        <v>291</v>
      </c>
      <c r="C145" s="158"/>
      <c r="D145" s="243"/>
      <c r="E145" s="94"/>
    </row>
    <row r="146" spans="1:5" s="53" customFormat="1" ht="12" customHeight="1" thickBot="1">
      <c r="A146" s="25" t="s">
        <v>12</v>
      </c>
      <c r="B146" s="57" t="s">
        <v>362</v>
      </c>
      <c r="C146" s="234">
        <f>+C147+C148+C149+C150+C151</f>
        <v>0</v>
      </c>
      <c r="D146" s="246">
        <f>+D147+D148+D149+D150+D151</f>
        <v>0</v>
      </c>
      <c r="E146" s="228">
        <f>+E147+E148+E149+E150+E151</f>
        <v>0</v>
      </c>
    </row>
    <row r="147" spans="1:5" s="53" customFormat="1" ht="12" customHeight="1">
      <c r="A147" s="187" t="s">
        <v>62</v>
      </c>
      <c r="B147" s="7" t="s">
        <v>357</v>
      </c>
      <c r="C147" s="158"/>
      <c r="D147" s="243"/>
      <c r="E147" s="94"/>
    </row>
    <row r="148" spans="1:5" s="53" customFormat="1" ht="12" customHeight="1">
      <c r="A148" s="187" t="s">
        <v>63</v>
      </c>
      <c r="B148" s="7" t="s">
        <v>364</v>
      </c>
      <c r="C148" s="158"/>
      <c r="D148" s="243"/>
      <c r="E148" s="94"/>
    </row>
    <row r="149" spans="1:5" s="53" customFormat="1" ht="12" customHeight="1">
      <c r="A149" s="187" t="s">
        <v>203</v>
      </c>
      <c r="B149" s="7" t="s">
        <v>359</v>
      </c>
      <c r="C149" s="158"/>
      <c r="D149" s="243"/>
      <c r="E149" s="94"/>
    </row>
    <row r="150" spans="1:5" s="53" customFormat="1" ht="12" customHeight="1">
      <c r="A150" s="187" t="s">
        <v>204</v>
      </c>
      <c r="B150" s="7" t="s">
        <v>401</v>
      </c>
      <c r="C150" s="158"/>
      <c r="D150" s="243"/>
      <c r="E150" s="94"/>
    </row>
    <row r="151" spans="1:5" ht="12.75" customHeight="1" thickBot="1">
      <c r="A151" s="196" t="s">
        <v>363</v>
      </c>
      <c r="B151" s="5" t="s">
        <v>366</v>
      </c>
      <c r="C151" s="160"/>
      <c r="D151" s="244"/>
      <c r="E151" s="96"/>
    </row>
    <row r="152" spans="1:5" ht="12.75" customHeight="1" thickBot="1">
      <c r="A152" s="223" t="s">
        <v>13</v>
      </c>
      <c r="B152" s="57" t="s">
        <v>367</v>
      </c>
      <c r="C152" s="234"/>
      <c r="D152" s="246"/>
      <c r="E152" s="228"/>
    </row>
    <row r="153" spans="1:5" ht="12.75" customHeight="1" thickBot="1">
      <c r="A153" s="223" t="s">
        <v>14</v>
      </c>
      <c r="B153" s="57" t="s">
        <v>368</v>
      </c>
      <c r="C153" s="234"/>
      <c r="D153" s="246"/>
      <c r="E153" s="228"/>
    </row>
    <row r="154" spans="1:5" ht="12" customHeight="1" thickBot="1">
      <c r="A154" s="25" t="s">
        <v>15</v>
      </c>
      <c r="B154" s="57" t="s">
        <v>370</v>
      </c>
      <c r="C154" s="236">
        <f>+C129+C133+C140+C146+C152+C153</f>
        <v>312539699</v>
      </c>
      <c r="D154" s="248">
        <f>+D129+D133+D140+D146+D152+D153</f>
        <v>336363036</v>
      </c>
      <c r="E154" s="230">
        <f>+E129+E133+E140+E146+E152+E153</f>
        <v>288049810</v>
      </c>
    </row>
    <row r="155" spans="1:5" ht="15" customHeight="1" thickBot="1">
      <c r="A155" s="198" t="s">
        <v>16</v>
      </c>
      <c r="B155" s="144" t="s">
        <v>369</v>
      </c>
      <c r="C155" s="236">
        <f>+C128+C154</f>
        <v>618651788</v>
      </c>
      <c r="D155" s="248">
        <f>+D128+D154</f>
        <v>679074640</v>
      </c>
      <c r="E155" s="230">
        <f>+E128+E154</f>
        <v>506095974</v>
      </c>
    </row>
    <row r="156" spans="1:5" ht="13.5" thickBot="1">
      <c r="A156" s="147"/>
      <c r="B156" s="148"/>
      <c r="C156" s="602">
        <f>C90-C155</f>
        <v>-16020165</v>
      </c>
      <c r="D156" s="602">
        <f>D90-D155</f>
        <v>-23829150</v>
      </c>
      <c r="E156" s="149"/>
    </row>
    <row r="157" spans="1:5" ht="15" customHeight="1" thickBot="1">
      <c r="A157" s="318" t="s">
        <v>490</v>
      </c>
      <c r="B157" s="319"/>
      <c r="C157" s="307">
        <v>7</v>
      </c>
      <c r="D157" s="307">
        <v>7</v>
      </c>
      <c r="E157" s="306">
        <v>7</v>
      </c>
    </row>
    <row r="158" spans="1:5" ht="14.25" customHeight="1" thickBot="1">
      <c r="A158" s="320" t="s">
        <v>491</v>
      </c>
      <c r="B158" s="321"/>
      <c r="C158" s="307">
        <v>0</v>
      </c>
      <c r="D158" s="307">
        <v>0</v>
      </c>
      <c r="E158" s="306">
        <v>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zoomScale="120" zoomScaleNormal="120" zoomScaleSheetLayoutView="100" workbookViewId="0" topLeftCell="A133">
      <selection activeCell="C93" sqref="C93:E155"/>
    </sheetView>
  </sheetViews>
  <sheetFormatPr defaultColWidth="9.37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4"/>
      <c r="B1" s="386"/>
      <c r="C1" s="387"/>
      <c r="D1" s="387"/>
      <c r="E1" s="604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</row>
    <row r="2" spans="1:5" s="49" customFormat="1" ht="21" customHeight="1" thickBot="1">
      <c r="A2" s="383" t="s">
        <v>45</v>
      </c>
      <c r="B2" s="802" t="str">
        <f>CONCATENATE(Z_ALAPADATOK!A3)</f>
        <v>Balatonvilágos Község Önkormányzata</v>
      </c>
      <c r="C2" s="802"/>
      <c r="D2" s="802"/>
      <c r="E2" s="384" t="s">
        <v>39</v>
      </c>
    </row>
    <row r="3" spans="1:5" s="49" customFormat="1" ht="23.25" thickBot="1">
      <c r="A3" s="383" t="s">
        <v>134</v>
      </c>
      <c r="B3" s="802" t="s">
        <v>319</v>
      </c>
      <c r="C3" s="802"/>
      <c r="D3" s="802"/>
      <c r="E3" s="385" t="s">
        <v>43</v>
      </c>
    </row>
    <row r="4" spans="1:5" s="50" customFormat="1" ht="15.75" customHeight="1" thickBot="1">
      <c r="A4" s="377"/>
      <c r="B4" s="377"/>
      <c r="C4" s="378"/>
      <c r="D4" s="379"/>
      <c r="E4" s="378" t="str">
        <f>'Z_6.1.1.sz.mell'!E4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CONCATENATE('Z_6.1.1.sz.mell'!E5)</f>
        <v>Teljesítés
2019. XII. 31.</v>
      </c>
    </row>
    <row r="6" spans="1:5" s="45" customFormat="1" ht="12.75" customHeight="1" thickBot="1">
      <c r="A6" s="72" t="s">
        <v>381</v>
      </c>
      <c r="B6" s="73" t="s">
        <v>382</v>
      </c>
      <c r="C6" s="73" t="s">
        <v>383</v>
      </c>
      <c r="D6" s="301" t="s">
        <v>385</v>
      </c>
      <c r="E6" s="74" t="s">
        <v>384</v>
      </c>
    </row>
    <row r="7" spans="1:5" s="45" customFormat="1" ht="15.75" customHeight="1" thickBot="1">
      <c r="A7" s="799" t="s">
        <v>40</v>
      </c>
      <c r="B7" s="800"/>
      <c r="C7" s="800"/>
      <c r="D7" s="800"/>
      <c r="E7" s="801"/>
    </row>
    <row r="8" spans="1:5" s="45" customFormat="1" ht="12" customHeight="1" thickBot="1">
      <c r="A8" s="25" t="s">
        <v>6</v>
      </c>
      <c r="B8" s="19" t="s">
        <v>156</v>
      </c>
      <c r="C8" s="157">
        <f>+C9+C10+C11+C12+C13+C14</f>
        <v>0</v>
      </c>
      <c r="D8" s="241">
        <f>+D9+D10+D11+D12+D13+D14</f>
        <v>0</v>
      </c>
      <c r="E8" s="93">
        <f>+E9+E10+E11+E12+E13+E14</f>
        <v>0</v>
      </c>
    </row>
    <row r="9" spans="1:5" s="51" customFormat="1" ht="12" customHeight="1">
      <c r="A9" s="187" t="s">
        <v>64</v>
      </c>
      <c r="B9" s="170" t="s">
        <v>157</v>
      </c>
      <c r="C9" s="159">
        <v>0</v>
      </c>
      <c r="D9" s="242"/>
      <c r="E9" s="95"/>
    </row>
    <row r="10" spans="1:5" s="52" customFormat="1" ht="12" customHeight="1">
      <c r="A10" s="188" t="s">
        <v>65</v>
      </c>
      <c r="B10" s="171" t="s">
        <v>158</v>
      </c>
      <c r="C10" s="158">
        <v>0</v>
      </c>
      <c r="D10" s="243"/>
      <c r="E10" s="94"/>
    </row>
    <row r="11" spans="1:5" s="52" customFormat="1" ht="12" customHeight="1">
      <c r="A11" s="188" t="s">
        <v>66</v>
      </c>
      <c r="B11" s="171" t="s">
        <v>159</v>
      </c>
      <c r="C11" s="158">
        <v>0</v>
      </c>
      <c r="D11" s="243"/>
      <c r="E11" s="94"/>
    </row>
    <row r="12" spans="1:5" s="52" customFormat="1" ht="12" customHeight="1">
      <c r="A12" s="188" t="s">
        <v>67</v>
      </c>
      <c r="B12" s="171" t="s">
        <v>160</v>
      </c>
      <c r="C12" s="158">
        <v>0</v>
      </c>
      <c r="D12" s="243"/>
      <c r="E12" s="94"/>
    </row>
    <row r="13" spans="1:5" s="52" customFormat="1" ht="12" customHeight="1">
      <c r="A13" s="188" t="s">
        <v>96</v>
      </c>
      <c r="B13" s="171" t="s">
        <v>389</v>
      </c>
      <c r="C13" s="158"/>
      <c r="D13" s="243"/>
      <c r="E13" s="94"/>
    </row>
    <row r="14" spans="1:5" s="51" customFormat="1" ht="12" customHeight="1" thickBot="1">
      <c r="A14" s="189" t="s">
        <v>68</v>
      </c>
      <c r="B14" s="172" t="s">
        <v>330</v>
      </c>
      <c r="C14" s="158"/>
      <c r="D14" s="243"/>
      <c r="E14" s="94"/>
    </row>
    <row r="15" spans="1:5" s="51" customFormat="1" ht="12" customHeight="1" thickBot="1">
      <c r="A15" s="25" t="s">
        <v>7</v>
      </c>
      <c r="B15" s="100" t="s">
        <v>161</v>
      </c>
      <c r="C15" s="157">
        <f>+C16+C17+C18+C19+C20</f>
        <v>0</v>
      </c>
      <c r="D15" s="241">
        <f>+D16+D17+D18+D19+D20</f>
        <v>0</v>
      </c>
      <c r="E15" s="93">
        <f>+E16+E17+E18+E19+E20</f>
        <v>0</v>
      </c>
    </row>
    <row r="16" spans="1:5" s="51" customFormat="1" ht="12" customHeight="1">
      <c r="A16" s="187" t="s">
        <v>70</v>
      </c>
      <c r="B16" s="170" t="s">
        <v>162</v>
      </c>
      <c r="C16" s="159"/>
      <c r="D16" s="242"/>
      <c r="E16" s="95"/>
    </row>
    <row r="17" spans="1:5" s="51" customFormat="1" ht="12" customHeight="1">
      <c r="A17" s="188" t="s">
        <v>71</v>
      </c>
      <c r="B17" s="171" t="s">
        <v>163</v>
      </c>
      <c r="C17" s="158"/>
      <c r="D17" s="243"/>
      <c r="E17" s="94"/>
    </row>
    <row r="18" spans="1:5" s="51" customFormat="1" ht="12" customHeight="1">
      <c r="A18" s="188" t="s">
        <v>72</v>
      </c>
      <c r="B18" s="171" t="s">
        <v>321</v>
      </c>
      <c r="C18" s="158"/>
      <c r="D18" s="243"/>
      <c r="E18" s="94"/>
    </row>
    <row r="19" spans="1:5" s="51" customFormat="1" ht="12" customHeight="1">
      <c r="A19" s="188" t="s">
        <v>73</v>
      </c>
      <c r="B19" s="171" t="s">
        <v>322</v>
      </c>
      <c r="C19" s="158"/>
      <c r="D19" s="243"/>
      <c r="E19" s="94"/>
    </row>
    <row r="20" spans="1:5" s="51" customFormat="1" ht="12" customHeight="1">
      <c r="A20" s="188" t="s">
        <v>74</v>
      </c>
      <c r="B20" s="171" t="s">
        <v>164</v>
      </c>
      <c r="C20" s="158">
        <v>0</v>
      </c>
      <c r="D20" s="243"/>
      <c r="E20" s="94"/>
    </row>
    <row r="21" spans="1:5" s="52" customFormat="1" ht="12" customHeight="1" thickBot="1">
      <c r="A21" s="189" t="s">
        <v>81</v>
      </c>
      <c r="B21" s="172" t="s">
        <v>165</v>
      </c>
      <c r="C21" s="160">
        <v>0</v>
      </c>
      <c r="D21" s="244"/>
      <c r="E21" s="96"/>
    </row>
    <row r="22" spans="1:5" s="52" customFormat="1" ht="12" customHeight="1" thickBot="1">
      <c r="A22" s="25" t="s">
        <v>8</v>
      </c>
      <c r="B22" s="19" t="s">
        <v>166</v>
      </c>
      <c r="C22" s="157">
        <f>+C23+C24+C25+C26+C27</f>
        <v>0</v>
      </c>
      <c r="D22" s="241">
        <f>+D23+D24+D25+D26+D27</f>
        <v>0</v>
      </c>
      <c r="E22" s="93">
        <f>+E23+E24+E25+E26+E27</f>
        <v>0</v>
      </c>
    </row>
    <row r="23" spans="1:5" s="52" customFormat="1" ht="12" customHeight="1">
      <c r="A23" s="187" t="s">
        <v>53</v>
      </c>
      <c r="B23" s="170" t="s">
        <v>167</v>
      </c>
      <c r="C23" s="159"/>
      <c r="D23" s="242"/>
      <c r="E23" s="95"/>
    </row>
    <row r="24" spans="1:5" s="51" customFormat="1" ht="12" customHeight="1">
      <c r="A24" s="188" t="s">
        <v>54</v>
      </c>
      <c r="B24" s="171" t="s">
        <v>168</v>
      </c>
      <c r="C24" s="158"/>
      <c r="D24" s="243"/>
      <c r="E24" s="94"/>
    </row>
    <row r="25" spans="1:5" s="52" customFormat="1" ht="12" customHeight="1">
      <c r="A25" s="188" t="s">
        <v>55</v>
      </c>
      <c r="B25" s="171" t="s">
        <v>323</v>
      </c>
      <c r="C25" s="158"/>
      <c r="D25" s="243"/>
      <c r="E25" s="94"/>
    </row>
    <row r="26" spans="1:5" s="52" customFormat="1" ht="12" customHeight="1">
      <c r="A26" s="188" t="s">
        <v>56</v>
      </c>
      <c r="B26" s="171" t="s">
        <v>324</v>
      </c>
      <c r="C26" s="158"/>
      <c r="D26" s="243"/>
      <c r="E26" s="94"/>
    </row>
    <row r="27" spans="1:5" s="52" customFormat="1" ht="12" customHeight="1">
      <c r="A27" s="188" t="s">
        <v>109</v>
      </c>
      <c r="B27" s="171" t="s">
        <v>169</v>
      </c>
      <c r="C27" s="158"/>
      <c r="D27" s="243"/>
      <c r="E27" s="94"/>
    </row>
    <row r="28" spans="1:5" s="52" customFormat="1" ht="12" customHeight="1" thickBot="1">
      <c r="A28" s="189" t="s">
        <v>110</v>
      </c>
      <c r="B28" s="172" t="s">
        <v>170</v>
      </c>
      <c r="C28" s="160"/>
      <c r="D28" s="244"/>
      <c r="E28" s="96"/>
    </row>
    <row r="29" spans="1:5" s="52" customFormat="1" ht="12" customHeight="1" thickBot="1">
      <c r="A29" s="25" t="s">
        <v>111</v>
      </c>
      <c r="B29" s="19" t="s">
        <v>480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2" customFormat="1" ht="12" customHeight="1">
      <c r="A30" s="187" t="s">
        <v>171</v>
      </c>
      <c r="B30" s="170" t="s">
        <v>481</v>
      </c>
      <c r="C30" s="159"/>
      <c r="D30" s="159"/>
      <c r="E30" s="95">
        <f>+E31+E32+E33</f>
        <v>0</v>
      </c>
    </row>
    <row r="31" spans="1:5" s="52" customFormat="1" ht="12" customHeight="1">
      <c r="A31" s="188" t="s">
        <v>172</v>
      </c>
      <c r="B31" s="171" t="s">
        <v>482</v>
      </c>
      <c r="C31" s="158"/>
      <c r="D31" s="158"/>
      <c r="E31" s="94"/>
    </row>
    <row r="32" spans="1:5" s="52" customFormat="1" ht="12" customHeight="1">
      <c r="A32" s="188" t="s">
        <v>173</v>
      </c>
      <c r="B32" s="171" t="s">
        <v>483</v>
      </c>
      <c r="C32" s="158"/>
      <c r="D32" s="158"/>
      <c r="E32" s="94"/>
    </row>
    <row r="33" spans="1:5" s="52" customFormat="1" ht="12" customHeight="1">
      <c r="A33" s="188" t="s">
        <v>174</v>
      </c>
      <c r="B33" s="171" t="s">
        <v>484</v>
      </c>
      <c r="C33" s="158"/>
      <c r="D33" s="158"/>
      <c r="E33" s="94"/>
    </row>
    <row r="34" spans="1:5" s="52" customFormat="1" ht="12" customHeight="1">
      <c r="A34" s="188" t="s">
        <v>485</v>
      </c>
      <c r="B34" s="171" t="s">
        <v>175</v>
      </c>
      <c r="C34" s="158"/>
      <c r="D34" s="158"/>
      <c r="E34" s="94"/>
    </row>
    <row r="35" spans="1:5" s="52" customFormat="1" ht="12" customHeight="1">
      <c r="A35" s="188" t="s">
        <v>486</v>
      </c>
      <c r="B35" s="171" t="s">
        <v>176</v>
      </c>
      <c r="C35" s="158"/>
      <c r="D35" s="158"/>
      <c r="E35" s="94"/>
    </row>
    <row r="36" spans="1:5" s="52" customFormat="1" ht="12" customHeight="1" thickBot="1">
      <c r="A36" s="189" t="s">
        <v>487</v>
      </c>
      <c r="B36" s="317" t="s">
        <v>177</v>
      </c>
      <c r="C36" s="160"/>
      <c r="D36" s="160"/>
      <c r="E36" s="96"/>
    </row>
    <row r="37" spans="1:5" s="52" customFormat="1" ht="12" customHeight="1" thickBot="1">
      <c r="A37" s="25" t="s">
        <v>10</v>
      </c>
      <c r="B37" s="19" t="s">
        <v>331</v>
      </c>
      <c r="C37" s="157">
        <f>SUM(C38:C48)</f>
        <v>8613155</v>
      </c>
      <c r="D37" s="241">
        <f>SUM(D38:D48)</f>
        <v>13651243</v>
      </c>
      <c r="E37" s="93">
        <f>SUM(E38:E48)</f>
        <v>13569327</v>
      </c>
    </row>
    <row r="38" spans="1:5" s="52" customFormat="1" ht="12" customHeight="1">
      <c r="A38" s="187" t="s">
        <v>57</v>
      </c>
      <c r="B38" s="170" t="s">
        <v>180</v>
      </c>
      <c r="C38" s="159"/>
      <c r="D38" s="242"/>
      <c r="E38" s="95"/>
    </row>
    <row r="39" spans="1:5" s="52" customFormat="1" ht="12" customHeight="1">
      <c r="A39" s="188" t="s">
        <v>58</v>
      </c>
      <c r="B39" s="171" t="s">
        <v>181</v>
      </c>
      <c r="C39" s="158">
        <v>2593680</v>
      </c>
      <c r="D39" s="243">
        <v>2593680</v>
      </c>
      <c r="E39" s="94">
        <v>2515956</v>
      </c>
    </row>
    <row r="40" spans="1:5" s="52" customFormat="1" ht="12" customHeight="1">
      <c r="A40" s="188" t="s">
        <v>59</v>
      </c>
      <c r="B40" s="171" t="s">
        <v>182</v>
      </c>
      <c r="C40" s="158"/>
      <c r="D40" s="243"/>
      <c r="E40" s="94"/>
    </row>
    <row r="41" spans="1:5" s="52" customFormat="1" ht="12" customHeight="1">
      <c r="A41" s="188" t="s">
        <v>113</v>
      </c>
      <c r="B41" s="171" t="s">
        <v>183</v>
      </c>
      <c r="C41" s="158">
        <v>1656921</v>
      </c>
      <c r="D41" s="243">
        <v>3726743</v>
      </c>
      <c r="E41" s="94">
        <v>3726743</v>
      </c>
    </row>
    <row r="42" spans="1:5" s="52" customFormat="1" ht="12" customHeight="1">
      <c r="A42" s="188" t="s">
        <v>114</v>
      </c>
      <c r="B42" s="171" t="s">
        <v>184</v>
      </c>
      <c r="C42" s="158"/>
      <c r="D42" s="243"/>
      <c r="E42" s="94"/>
    </row>
    <row r="43" spans="1:5" s="52" customFormat="1" ht="12" customHeight="1">
      <c r="A43" s="188" t="s">
        <v>115</v>
      </c>
      <c r="B43" s="171" t="s">
        <v>185</v>
      </c>
      <c r="C43" s="158">
        <v>4362554</v>
      </c>
      <c r="D43" s="243">
        <v>5016148</v>
      </c>
      <c r="E43" s="94">
        <v>4982239</v>
      </c>
    </row>
    <row r="44" spans="1:5" s="52" customFormat="1" ht="12" customHeight="1">
      <c r="A44" s="188" t="s">
        <v>116</v>
      </c>
      <c r="B44" s="171" t="s">
        <v>186</v>
      </c>
      <c r="C44" s="158"/>
      <c r="D44" s="243"/>
      <c r="E44" s="94"/>
    </row>
    <row r="45" spans="1:5" s="52" customFormat="1" ht="12" customHeight="1">
      <c r="A45" s="188" t="s">
        <v>117</v>
      </c>
      <c r="B45" s="171" t="s">
        <v>488</v>
      </c>
      <c r="C45" s="158"/>
      <c r="D45" s="243"/>
      <c r="E45" s="94"/>
    </row>
    <row r="46" spans="1:5" s="52" customFormat="1" ht="12" customHeight="1">
      <c r="A46" s="188" t="s">
        <v>178</v>
      </c>
      <c r="B46" s="171" t="s">
        <v>188</v>
      </c>
      <c r="C46" s="161"/>
      <c r="D46" s="302"/>
      <c r="E46" s="97"/>
    </row>
    <row r="47" spans="1:5" s="52" customFormat="1" ht="12" customHeight="1">
      <c r="A47" s="189" t="s">
        <v>179</v>
      </c>
      <c r="B47" s="172" t="s">
        <v>333</v>
      </c>
      <c r="C47" s="162"/>
      <c r="D47" s="303"/>
      <c r="E47" s="98"/>
    </row>
    <row r="48" spans="1:5" s="52" customFormat="1" ht="12" customHeight="1" thickBot="1">
      <c r="A48" s="189" t="s">
        <v>332</v>
      </c>
      <c r="B48" s="172" t="s">
        <v>189</v>
      </c>
      <c r="C48" s="162"/>
      <c r="D48" s="303">
        <v>2314672</v>
      </c>
      <c r="E48" s="98">
        <v>2344389</v>
      </c>
    </row>
    <row r="49" spans="1:5" s="52" customFormat="1" ht="12" customHeight="1" thickBot="1">
      <c r="A49" s="25" t="s">
        <v>11</v>
      </c>
      <c r="B49" s="19" t="s">
        <v>190</v>
      </c>
      <c r="C49" s="157">
        <f>SUM(C50:C54)</f>
        <v>11907010</v>
      </c>
      <c r="D49" s="241">
        <f>SUM(D50:D54)</f>
        <v>12314867</v>
      </c>
      <c r="E49" s="93">
        <f>SUM(E50:E54)</f>
        <v>12314867</v>
      </c>
    </row>
    <row r="50" spans="1:5" s="52" customFormat="1" ht="12" customHeight="1">
      <c r="A50" s="187" t="s">
        <v>60</v>
      </c>
      <c r="B50" s="170" t="s">
        <v>194</v>
      </c>
      <c r="C50" s="210"/>
      <c r="D50" s="304"/>
      <c r="E50" s="99"/>
    </row>
    <row r="51" spans="1:5" s="52" customFormat="1" ht="12" customHeight="1">
      <c r="A51" s="188" t="s">
        <v>61</v>
      </c>
      <c r="B51" s="171" t="s">
        <v>195</v>
      </c>
      <c r="C51" s="161">
        <v>11907010</v>
      </c>
      <c r="D51" s="302">
        <v>12300694</v>
      </c>
      <c r="E51" s="97">
        <v>12300694</v>
      </c>
    </row>
    <row r="52" spans="1:5" s="52" customFormat="1" ht="12" customHeight="1">
      <c r="A52" s="188" t="s">
        <v>191</v>
      </c>
      <c r="B52" s="171" t="s">
        <v>196</v>
      </c>
      <c r="C52" s="161"/>
      <c r="D52" s="302">
        <v>14173</v>
      </c>
      <c r="E52" s="97">
        <v>14173</v>
      </c>
    </row>
    <row r="53" spans="1:5" s="52" customFormat="1" ht="12" customHeight="1">
      <c r="A53" s="188" t="s">
        <v>192</v>
      </c>
      <c r="B53" s="171" t="s">
        <v>197</v>
      </c>
      <c r="C53" s="161"/>
      <c r="D53" s="302"/>
      <c r="E53" s="97"/>
    </row>
    <row r="54" spans="1:5" s="52" customFormat="1" ht="12" customHeight="1" thickBot="1">
      <c r="A54" s="189" t="s">
        <v>193</v>
      </c>
      <c r="B54" s="172" t="s">
        <v>198</v>
      </c>
      <c r="C54" s="162"/>
      <c r="D54" s="303"/>
      <c r="E54" s="98"/>
    </row>
    <row r="55" spans="1:5" s="52" customFormat="1" ht="12" customHeight="1" thickBot="1">
      <c r="A55" s="25" t="s">
        <v>118</v>
      </c>
      <c r="B55" s="19" t="s">
        <v>199</v>
      </c>
      <c r="C55" s="157">
        <f>SUM(C56:C58)</f>
        <v>0</v>
      </c>
      <c r="D55" s="241">
        <f>SUM(D56:D58)</f>
        <v>0</v>
      </c>
      <c r="E55" s="93">
        <f>SUM(E56:E58)</f>
        <v>0</v>
      </c>
    </row>
    <row r="56" spans="1:5" s="52" customFormat="1" ht="12" customHeight="1">
      <c r="A56" s="187" t="s">
        <v>62</v>
      </c>
      <c r="B56" s="170" t="s">
        <v>200</v>
      </c>
      <c r="C56" s="159"/>
      <c r="D56" s="242"/>
      <c r="E56" s="95"/>
    </row>
    <row r="57" spans="1:5" s="52" customFormat="1" ht="12" customHeight="1">
      <c r="A57" s="188" t="s">
        <v>63</v>
      </c>
      <c r="B57" s="171" t="s">
        <v>325</v>
      </c>
      <c r="C57" s="158"/>
      <c r="D57" s="243"/>
      <c r="E57" s="94"/>
    </row>
    <row r="58" spans="1:5" s="52" customFormat="1" ht="12" customHeight="1">
      <c r="A58" s="188" t="s">
        <v>203</v>
      </c>
      <c r="B58" s="171" t="s">
        <v>201</v>
      </c>
      <c r="C58" s="158"/>
      <c r="D58" s="243"/>
      <c r="E58" s="94"/>
    </row>
    <row r="59" spans="1:5" s="52" customFormat="1" ht="12" customHeight="1" thickBot="1">
      <c r="A59" s="189" t="s">
        <v>204</v>
      </c>
      <c r="B59" s="172" t="s">
        <v>202</v>
      </c>
      <c r="C59" s="160"/>
      <c r="D59" s="244"/>
      <c r="E59" s="96"/>
    </row>
    <row r="60" spans="1:5" s="52" customFormat="1" ht="12" customHeight="1" thickBot="1">
      <c r="A60" s="25" t="s">
        <v>13</v>
      </c>
      <c r="B60" s="100" t="s">
        <v>205</v>
      </c>
      <c r="C60" s="157">
        <f>SUM(C61:C63)</f>
        <v>0</v>
      </c>
      <c r="D60" s="241">
        <f>SUM(D61:D63)</f>
        <v>0</v>
      </c>
      <c r="E60" s="93">
        <f>SUM(E61:E63)</f>
        <v>0</v>
      </c>
    </row>
    <row r="61" spans="1:5" s="52" customFormat="1" ht="12" customHeight="1">
      <c r="A61" s="187" t="s">
        <v>119</v>
      </c>
      <c r="B61" s="170" t="s">
        <v>207</v>
      </c>
      <c r="C61" s="161"/>
      <c r="D61" s="302"/>
      <c r="E61" s="97"/>
    </row>
    <row r="62" spans="1:5" s="52" customFormat="1" ht="12" customHeight="1">
      <c r="A62" s="188" t="s">
        <v>120</v>
      </c>
      <c r="B62" s="171" t="s">
        <v>326</v>
      </c>
      <c r="C62" s="161"/>
      <c r="D62" s="302"/>
      <c r="E62" s="97"/>
    </row>
    <row r="63" spans="1:5" s="52" customFormat="1" ht="12" customHeight="1">
      <c r="A63" s="188" t="s">
        <v>139</v>
      </c>
      <c r="B63" s="171" t="s">
        <v>208</v>
      </c>
      <c r="C63" s="161"/>
      <c r="D63" s="302"/>
      <c r="E63" s="97"/>
    </row>
    <row r="64" spans="1:5" s="52" customFormat="1" ht="12" customHeight="1" thickBot="1">
      <c r="A64" s="189" t="s">
        <v>206</v>
      </c>
      <c r="B64" s="172" t="s">
        <v>209</v>
      </c>
      <c r="C64" s="161"/>
      <c r="D64" s="302"/>
      <c r="E64" s="97"/>
    </row>
    <row r="65" spans="1:5" s="52" customFormat="1" ht="12" customHeight="1" thickBot="1">
      <c r="A65" s="25" t="s">
        <v>14</v>
      </c>
      <c r="B65" s="19" t="s">
        <v>210</v>
      </c>
      <c r="C65" s="163">
        <f>+C8+C15+C22+C29+C37+C49+C55+C60</f>
        <v>20520165</v>
      </c>
      <c r="D65" s="245">
        <f>+D8+D15+D22+D29+D37+D49+D55+D60</f>
        <v>25966110</v>
      </c>
      <c r="E65" s="199">
        <f>+E8+E15+E22+E29+E37+E49+E55+E60</f>
        <v>25884194</v>
      </c>
    </row>
    <row r="66" spans="1:5" s="52" customFormat="1" ht="12" customHeight="1" thickBot="1">
      <c r="A66" s="190" t="s">
        <v>295</v>
      </c>
      <c r="B66" s="100" t="s">
        <v>212</v>
      </c>
      <c r="C66" s="157">
        <f>SUM(C67:C69)</f>
        <v>0</v>
      </c>
      <c r="D66" s="241">
        <f>SUM(D67:D69)</f>
        <v>0</v>
      </c>
      <c r="E66" s="93">
        <f>SUM(E67:E69)</f>
        <v>0</v>
      </c>
    </row>
    <row r="67" spans="1:5" s="52" customFormat="1" ht="12" customHeight="1">
      <c r="A67" s="187" t="s">
        <v>240</v>
      </c>
      <c r="B67" s="170" t="s">
        <v>213</v>
      </c>
      <c r="C67" s="161"/>
      <c r="D67" s="302"/>
      <c r="E67" s="97"/>
    </row>
    <row r="68" spans="1:5" s="52" customFormat="1" ht="12" customHeight="1">
      <c r="A68" s="188" t="s">
        <v>249</v>
      </c>
      <c r="B68" s="171" t="s">
        <v>214</v>
      </c>
      <c r="C68" s="161"/>
      <c r="D68" s="302"/>
      <c r="E68" s="97"/>
    </row>
    <row r="69" spans="1:5" s="52" customFormat="1" ht="12" customHeight="1" thickBot="1">
      <c r="A69" s="189" t="s">
        <v>250</v>
      </c>
      <c r="B69" s="173" t="s">
        <v>215</v>
      </c>
      <c r="C69" s="161"/>
      <c r="D69" s="305"/>
      <c r="E69" s="97"/>
    </row>
    <row r="70" spans="1:5" s="52" customFormat="1" ht="12" customHeight="1" thickBot="1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2" customFormat="1" ht="12" customHeight="1">
      <c r="A71" s="187" t="s">
        <v>97</v>
      </c>
      <c r="B71" s="354" t="s">
        <v>218</v>
      </c>
      <c r="C71" s="161"/>
      <c r="D71" s="161"/>
      <c r="E71" s="97"/>
    </row>
    <row r="72" spans="1:5" s="52" customFormat="1" ht="12" customHeight="1">
      <c r="A72" s="188" t="s">
        <v>98</v>
      </c>
      <c r="B72" s="354" t="s">
        <v>495</v>
      </c>
      <c r="C72" s="161"/>
      <c r="D72" s="161"/>
      <c r="E72" s="97"/>
    </row>
    <row r="73" spans="1:5" s="52" customFormat="1" ht="12" customHeight="1">
      <c r="A73" s="188" t="s">
        <v>241</v>
      </c>
      <c r="B73" s="354" t="s">
        <v>219</v>
      </c>
      <c r="C73" s="161"/>
      <c r="D73" s="161"/>
      <c r="E73" s="97"/>
    </row>
    <row r="74" spans="1:5" s="52" customFormat="1" ht="12" customHeight="1" thickBot="1">
      <c r="A74" s="189" t="s">
        <v>242</v>
      </c>
      <c r="B74" s="355" t="s">
        <v>496</v>
      </c>
      <c r="C74" s="161"/>
      <c r="D74" s="161"/>
      <c r="E74" s="97"/>
    </row>
    <row r="75" spans="1:5" s="52" customFormat="1" ht="12" customHeight="1" thickBot="1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2" customFormat="1" ht="12" customHeight="1">
      <c r="A76" s="187" t="s">
        <v>243</v>
      </c>
      <c r="B76" s="170" t="s">
        <v>222</v>
      </c>
      <c r="C76" s="161"/>
      <c r="D76" s="161"/>
      <c r="E76" s="97"/>
    </row>
    <row r="77" spans="1:5" s="52" customFormat="1" ht="12" customHeight="1" thickBot="1">
      <c r="A77" s="189" t="s">
        <v>244</v>
      </c>
      <c r="B77" s="172" t="s">
        <v>223</v>
      </c>
      <c r="C77" s="161"/>
      <c r="D77" s="161"/>
      <c r="E77" s="97"/>
    </row>
    <row r="78" spans="1:5" s="51" customFormat="1" ht="12" customHeight="1" thickBot="1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2" customFormat="1" ht="12" customHeight="1">
      <c r="A79" s="187" t="s">
        <v>245</v>
      </c>
      <c r="B79" s="170" t="s">
        <v>226</v>
      </c>
      <c r="C79" s="161"/>
      <c r="D79" s="161"/>
      <c r="E79" s="97"/>
    </row>
    <row r="80" spans="1:5" s="52" customFormat="1" ht="12" customHeight="1">
      <c r="A80" s="188" t="s">
        <v>246</v>
      </c>
      <c r="B80" s="171" t="s">
        <v>227</v>
      </c>
      <c r="C80" s="161"/>
      <c r="D80" s="161"/>
      <c r="E80" s="97"/>
    </row>
    <row r="81" spans="1:5" s="52" customFormat="1" ht="12" customHeight="1" thickBot="1">
      <c r="A81" s="189" t="s">
        <v>247</v>
      </c>
      <c r="B81" s="172" t="s">
        <v>497</v>
      </c>
      <c r="C81" s="161"/>
      <c r="D81" s="161"/>
      <c r="E81" s="97"/>
    </row>
    <row r="82" spans="1:5" s="52" customFormat="1" ht="12" customHeight="1" thickBot="1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2" customFormat="1" ht="12" customHeight="1">
      <c r="A83" s="191" t="s">
        <v>229</v>
      </c>
      <c r="B83" s="170" t="s">
        <v>230</v>
      </c>
      <c r="C83" s="161"/>
      <c r="D83" s="161"/>
      <c r="E83" s="97"/>
    </row>
    <row r="84" spans="1:5" s="52" customFormat="1" ht="12" customHeight="1">
      <c r="A84" s="192" t="s">
        <v>231</v>
      </c>
      <c r="B84" s="171" t="s">
        <v>232</v>
      </c>
      <c r="C84" s="161"/>
      <c r="D84" s="161"/>
      <c r="E84" s="97"/>
    </row>
    <row r="85" spans="1:5" s="52" customFormat="1" ht="12" customHeight="1">
      <c r="A85" s="192" t="s">
        <v>233</v>
      </c>
      <c r="B85" s="171" t="s">
        <v>234</v>
      </c>
      <c r="C85" s="161"/>
      <c r="D85" s="161"/>
      <c r="E85" s="97"/>
    </row>
    <row r="86" spans="1:5" s="51" customFormat="1" ht="12" customHeight="1" thickBot="1">
      <c r="A86" s="193" t="s">
        <v>235</v>
      </c>
      <c r="B86" s="172" t="s">
        <v>236</v>
      </c>
      <c r="C86" s="161"/>
      <c r="D86" s="161"/>
      <c r="E86" s="97"/>
    </row>
    <row r="87" spans="1:5" s="51" customFormat="1" ht="12" customHeight="1" thickBot="1">
      <c r="A87" s="190" t="s">
        <v>237</v>
      </c>
      <c r="B87" s="100" t="s">
        <v>372</v>
      </c>
      <c r="C87" s="213"/>
      <c r="D87" s="213"/>
      <c r="E87" s="214"/>
    </row>
    <row r="88" spans="1:5" s="51" customFormat="1" ht="12" customHeight="1" thickBot="1">
      <c r="A88" s="190" t="s">
        <v>390</v>
      </c>
      <c r="B88" s="100" t="s">
        <v>238</v>
      </c>
      <c r="C88" s="213"/>
      <c r="D88" s="213"/>
      <c r="E88" s="214"/>
    </row>
    <row r="89" spans="1:5" s="51" customFormat="1" ht="12" customHeight="1" thickBot="1">
      <c r="A89" s="190" t="s">
        <v>391</v>
      </c>
      <c r="B89" s="177" t="s">
        <v>375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1" customFormat="1" ht="12" customHeight="1" thickBot="1">
      <c r="A90" s="194" t="s">
        <v>392</v>
      </c>
      <c r="B90" s="178" t="s">
        <v>393</v>
      </c>
      <c r="C90" s="163">
        <f>+C65+C89</f>
        <v>20520165</v>
      </c>
      <c r="D90" s="163">
        <f>+D65+D89</f>
        <v>25966110</v>
      </c>
      <c r="E90" s="199">
        <f>+E65+E89</f>
        <v>25884194</v>
      </c>
    </row>
    <row r="91" spans="1:3" s="52" customFormat="1" ht="15" customHeight="1" thickBot="1">
      <c r="A91" s="83"/>
      <c r="B91" s="84"/>
      <c r="C91" s="139"/>
    </row>
    <row r="92" spans="1:5" s="45" customFormat="1" ht="16.5" customHeight="1" thickBot="1">
      <c r="A92" s="799" t="s">
        <v>41</v>
      </c>
      <c r="B92" s="800"/>
      <c r="C92" s="800"/>
      <c r="D92" s="800"/>
      <c r="E92" s="801"/>
    </row>
    <row r="93" spans="1:5" s="53" customFormat="1" ht="12" customHeight="1" thickBot="1">
      <c r="A93" s="164" t="s">
        <v>6</v>
      </c>
      <c r="B93" s="24" t="s">
        <v>397</v>
      </c>
      <c r="C93" s="156">
        <f>+C94+C95+C96+C97+C98+C111</f>
        <v>0</v>
      </c>
      <c r="D93" s="156">
        <f>+D94+D95+D96+D97+D98+D111</f>
        <v>42000</v>
      </c>
      <c r="E93" s="224">
        <f>+E94+E95+E96+E97+E98+E111</f>
        <v>42000</v>
      </c>
    </row>
    <row r="94" spans="1:5" ht="12" customHeight="1">
      <c r="A94" s="195" t="s">
        <v>64</v>
      </c>
      <c r="B94" s="8" t="s">
        <v>35</v>
      </c>
      <c r="C94" s="231"/>
      <c r="D94" s="231"/>
      <c r="E94" s="225"/>
    </row>
    <row r="95" spans="1:5" ht="12" customHeight="1">
      <c r="A95" s="188" t="s">
        <v>65</v>
      </c>
      <c r="B95" s="6" t="s">
        <v>121</v>
      </c>
      <c r="C95" s="158"/>
      <c r="D95" s="158"/>
      <c r="E95" s="94"/>
    </row>
    <row r="96" spans="1:5" ht="12" customHeight="1">
      <c r="A96" s="188" t="s">
        <v>66</v>
      </c>
      <c r="B96" s="6" t="s">
        <v>92</v>
      </c>
      <c r="C96" s="160"/>
      <c r="D96" s="158"/>
      <c r="E96" s="96"/>
    </row>
    <row r="97" spans="1:5" ht="12" customHeight="1">
      <c r="A97" s="188" t="s">
        <v>67</v>
      </c>
      <c r="B97" s="9" t="s">
        <v>122</v>
      </c>
      <c r="C97" s="160"/>
      <c r="D97" s="244"/>
      <c r="E97" s="96"/>
    </row>
    <row r="98" spans="1:5" ht="12" customHeight="1">
      <c r="A98" s="188" t="s">
        <v>76</v>
      </c>
      <c r="B98" s="17" t="s">
        <v>123</v>
      </c>
      <c r="C98" s="160"/>
      <c r="D98" s="244">
        <v>42000</v>
      </c>
      <c r="E98" s="96">
        <v>42000</v>
      </c>
    </row>
    <row r="99" spans="1:5" ht="12" customHeight="1">
      <c r="A99" s="188" t="s">
        <v>68</v>
      </c>
      <c r="B99" s="6" t="s">
        <v>394</v>
      </c>
      <c r="C99" s="160"/>
      <c r="D99" s="244"/>
      <c r="E99" s="96"/>
    </row>
    <row r="100" spans="1:5" ht="12" customHeight="1">
      <c r="A100" s="188" t="s">
        <v>69</v>
      </c>
      <c r="B100" s="63" t="s">
        <v>338</v>
      </c>
      <c r="C100" s="160"/>
      <c r="D100" s="244"/>
      <c r="E100" s="96"/>
    </row>
    <row r="101" spans="1:5" ht="12" customHeight="1">
      <c r="A101" s="188" t="s">
        <v>77</v>
      </c>
      <c r="B101" s="63" t="s">
        <v>337</v>
      </c>
      <c r="C101" s="160"/>
      <c r="D101" s="244"/>
      <c r="E101" s="96"/>
    </row>
    <row r="102" spans="1:5" ht="12" customHeight="1">
      <c r="A102" s="188" t="s">
        <v>78</v>
      </c>
      <c r="B102" s="63" t="s">
        <v>254</v>
      </c>
      <c r="C102" s="160"/>
      <c r="D102" s="244"/>
      <c r="E102" s="96"/>
    </row>
    <row r="103" spans="1:5" ht="12" customHeight="1">
      <c r="A103" s="188" t="s">
        <v>79</v>
      </c>
      <c r="B103" s="64" t="s">
        <v>255</v>
      </c>
      <c r="C103" s="160"/>
      <c r="D103" s="244"/>
      <c r="E103" s="96"/>
    </row>
    <row r="104" spans="1:5" ht="12" customHeight="1">
      <c r="A104" s="188" t="s">
        <v>80</v>
      </c>
      <c r="B104" s="64" t="s">
        <v>256</v>
      </c>
      <c r="C104" s="160"/>
      <c r="D104" s="244"/>
      <c r="E104" s="96"/>
    </row>
    <row r="105" spans="1:5" ht="12" customHeight="1">
      <c r="A105" s="188" t="s">
        <v>82</v>
      </c>
      <c r="B105" s="63" t="s">
        <v>257</v>
      </c>
      <c r="C105" s="160"/>
      <c r="D105" s="244"/>
      <c r="E105" s="96"/>
    </row>
    <row r="106" spans="1:5" ht="12" customHeight="1">
      <c r="A106" s="188" t="s">
        <v>124</v>
      </c>
      <c r="B106" s="63" t="s">
        <v>258</v>
      </c>
      <c r="C106" s="160"/>
      <c r="D106" s="244"/>
      <c r="E106" s="96"/>
    </row>
    <row r="107" spans="1:5" ht="12" customHeight="1">
      <c r="A107" s="188" t="s">
        <v>252</v>
      </c>
      <c r="B107" s="64" t="s">
        <v>259</v>
      </c>
      <c r="C107" s="158"/>
      <c r="D107" s="244">
        <v>42000</v>
      </c>
      <c r="E107" s="96">
        <v>42000</v>
      </c>
    </row>
    <row r="108" spans="1:5" ht="12" customHeight="1">
      <c r="A108" s="196" t="s">
        <v>253</v>
      </c>
      <c r="B108" s="65" t="s">
        <v>260</v>
      </c>
      <c r="C108" s="160"/>
      <c r="D108" s="244"/>
      <c r="E108" s="96"/>
    </row>
    <row r="109" spans="1:5" ht="12" customHeight="1">
      <c r="A109" s="188" t="s">
        <v>335</v>
      </c>
      <c r="B109" s="65" t="s">
        <v>261</v>
      </c>
      <c r="C109" s="160"/>
      <c r="D109" s="244"/>
      <c r="E109" s="96"/>
    </row>
    <row r="110" spans="1:5" ht="12" customHeight="1">
      <c r="A110" s="188" t="s">
        <v>336</v>
      </c>
      <c r="B110" s="64" t="s">
        <v>262</v>
      </c>
      <c r="C110" s="158"/>
      <c r="D110" s="243"/>
      <c r="E110" s="94"/>
    </row>
    <row r="111" spans="1:5" ht="12" customHeight="1">
      <c r="A111" s="188" t="s">
        <v>340</v>
      </c>
      <c r="B111" s="9" t="s">
        <v>36</v>
      </c>
      <c r="C111" s="158"/>
      <c r="D111" s="243"/>
      <c r="E111" s="94"/>
    </row>
    <row r="112" spans="1:5" ht="12" customHeight="1">
      <c r="A112" s="189" t="s">
        <v>341</v>
      </c>
      <c r="B112" s="6" t="s">
        <v>395</v>
      </c>
      <c r="C112" s="160"/>
      <c r="D112" s="244"/>
      <c r="E112" s="96"/>
    </row>
    <row r="113" spans="1:5" ht="12" customHeight="1" thickBot="1">
      <c r="A113" s="197" t="s">
        <v>342</v>
      </c>
      <c r="B113" s="66" t="s">
        <v>396</v>
      </c>
      <c r="C113" s="232"/>
      <c r="D113" s="308"/>
      <c r="E113" s="226"/>
    </row>
    <row r="114" spans="1:5" ht="12" customHeight="1" thickBot="1">
      <c r="A114" s="25" t="s">
        <v>7</v>
      </c>
      <c r="B114" s="23" t="s">
        <v>263</v>
      </c>
      <c r="C114" s="157">
        <f>+C115+C117+C119</f>
        <v>4500000</v>
      </c>
      <c r="D114" s="241">
        <f>+D115+D117+D119</f>
        <v>2094960</v>
      </c>
      <c r="E114" s="93">
        <f>+E115+E117+E119</f>
        <v>1861660</v>
      </c>
    </row>
    <row r="115" spans="1:5" ht="12" customHeight="1">
      <c r="A115" s="187" t="s">
        <v>70</v>
      </c>
      <c r="B115" s="6" t="s">
        <v>138</v>
      </c>
      <c r="C115" s="159"/>
      <c r="D115" s="242"/>
      <c r="E115" s="95"/>
    </row>
    <row r="116" spans="1:5" ht="12" customHeight="1">
      <c r="A116" s="187" t="s">
        <v>71</v>
      </c>
      <c r="B116" s="10" t="s">
        <v>267</v>
      </c>
      <c r="C116" s="159"/>
      <c r="D116" s="242"/>
      <c r="E116" s="95"/>
    </row>
    <row r="117" spans="1:5" ht="12" customHeight="1">
      <c r="A117" s="187" t="s">
        <v>72</v>
      </c>
      <c r="B117" s="10" t="s">
        <v>125</v>
      </c>
      <c r="C117" s="158"/>
      <c r="D117" s="243"/>
      <c r="E117" s="94"/>
    </row>
    <row r="118" spans="1:5" ht="12" customHeight="1">
      <c r="A118" s="187" t="s">
        <v>73</v>
      </c>
      <c r="B118" s="10" t="s">
        <v>268</v>
      </c>
      <c r="C118" s="158"/>
      <c r="D118" s="243"/>
      <c r="E118" s="94"/>
    </row>
    <row r="119" spans="1:5" ht="12" customHeight="1">
      <c r="A119" s="187" t="s">
        <v>74</v>
      </c>
      <c r="B119" s="102" t="s">
        <v>140</v>
      </c>
      <c r="C119" s="158">
        <v>4500000</v>
      </c>
      <c r="D119" s="243">
        <v>2094960</v>
      </c>
      <c r="E119" s="94">
        <v>1861660</v>
      </c>
    </row>
    <row r="120" spans="1:5" ht="12" customHeight="1">
      <c r="A120" s="187" t="s">
        <v>81</v>
      </c>
      <c r="B120" s="101" t="s">
        <v>327</v>
      </c>
      <c r="C120" s="158"/>
      <c r="D120" s="243"/>
      <c r="E120" s="94"/>
    </row>
    <row r="121" spans="1:5" ht="12" customHeight="1">
      <c r="A121" s="187" t="s">
        <v>83</v>
      </c>
      <c r="B121" s="166" t="s">
        <v>273</v>
      </c>
      <c r="C121" s="158"/>
      <c r="D121" s="243"/>
      <c r="E121" s="94"/>
    </row>
    <row r="122" spans="1:5" ht="12" customHeight="1">
      <c r="A122" s="187" t="s">
        <v>126</v>
      </c>
      <c r="B122" s="64" t="s">
        <v>256</v>
      </c>
      <c r="C122" s="158"/>
      <c r="D122" s="243"/>
      <c r="E122" s="94"/>
    </row>
    <row r="123" spans="1:5" ht="12" customHeight="1">
      <c r="A123" s="187" t="s">
        <v>127</v>
      </c>
      <c r="B123" s="64" t="s">
        <v>272</v>
      </c>
      <c r="C123" s="158"/>
      <c r="D123" s="243"/>
      <c r="E123" s="94"/>
    </row>
    <row r="124" spans="1:5" ht="12" customHeight="1">
      <c r="A124" s="187" t="s">
        <v>128</v>
      </c>
      <c r="B124" s="64" t="s">
        <v>271</v>
      </c>
      <c r="C124" s="158"/>
      <c r="D124" s="243"/>
      <c r="E124" s="94"/>
    </row>
    <row r="125" spans="1:5" ht="12" customHeight="1">
      <c r="A125" s="187" t="s">
        <v>264</v>
      </c>
      <c r="B125" s="64" t="s">
        <v>259</v>
      </c>
      <c r="C125" s="158">
        <v>2000000</v>
      </c>
      <c r="D125" s="243">
        <v>1845000</v>
      </c>
      <c r="E125" s="94">
        <v>1611700</v>
      </c>
    </row>
    <row r="126" spans="1:5" ht="12" customHeight="1">
      <c r="A126" s="187" t="s">
        <v>265</v>
      </c>
      <c r="B126" s="64" t="s">
        <v>270</v>
      </c>
      <c r="C126" s="158"/>
      <c r="D126" s="243"/>
      <c r="E126" s="94"/>
    </row>
    <row r="127" spans="1:5" ht="12" customHeight="1" thickBot="1">
      <c r="A127" s="196" t="s">
        <v>266</v>
      </c>
      <c r="B127" s="64" t="s">
        <v>269</v>
      </c>
      <c r="C127" s="160">
        <v>2500000</v>
      </c>
      <c r="D127" s="244">
        <v>249960</v>
      </c>
      <c r="E127" s="96">
        <v>249960</v>
      </c>
    </row>
    <row r="128" spans="1:5" ht="12" customHeight="1" thickBot="1">
      <c r="A128" s="25" t="s">
        <v>8</v>
      </c>
      <c r="B128" s="57" t="s">
        <v>345</v>
      </c>
      <c r="C128" s="157">
        <f>+C93+C114</f>
        <v>4500000</v>
      </c>
      <c r="D128" s="241">
        <f>+D93+D114</f>
        <v>2136960</v>
      </c>
      <c r="E128" s="93">
        <f>+E93+E114</f>
        <v>1903660</v>
      </c>
    </row>
    <row r="129" spans="1:5" ht="12" customHeight="1" thickBot="1">
      <c r="A129" s="25" t="s">
        <v>9</v>
      </c>
      <c r="B129" s="57" t="s">
        <v>346</v>
      </c>
      <c r="C129" s="157">
        <f>+C130+C131+C132</f>
        <v>0</v>
      </c>
      <c r="D129" s="241">
        <f>+D130+D131+D132</f>
        <v>0</v>
      </c>
      <c r="E129" s="93">
        <f>+E130+E131+E132</f>
        <v>0</v>
      </c>
    </row>
    <row r="130" spans="1:5" s="53" customFormat="1" ht="12" customHeight="1">
      <c r="A130" s="187" t="s">
        <v>171</v>
      </c>
      <c r="B130" s="7" t="s">
        <v>400</v>
      </c>
      <c r="C130" s="158"/>
      <c r="D130" s="243"/>
      <c r="E130" s="94"/>
    </row>
    <row r="131" spans="1:5" ht="12" customHeight="1">
      <c r="A131" s="187" t="s">
        <v>172</v>
      </c>
      <c r="B131" s="7" t="s">
        <v>354</v>
      </c>
      <c r="C131" s="158"/>
      <c r="D131" s="243"/>
      <c r="E131" s="94"/>
    </row>
    <row r="132" spans="1:5" ht="12" customHeight="1" thickBot="1">
      <c r="A132" s="196" t="s">
        <v>173</v>
      </c>
      <c r="B132" s="5" t="s">
        <v>399</v>
      </c>
      <c r="C132" s="158"/>
      <c r="D132" s="243"/>
      <c r="E132" s="94"/>
    </row>
    <row r="133" spans="1:5" ht="12" customHeight="1" thickBot="1">
      <c r="A133" s="25" t="s">
        <v>10</v>
      </c>
      <c r="B133" s="57" t="s">
        <v>347</v>
      </c>
      <c r="C133" s="157">
        <f>+C134+C135+C136+C137+C138+C139</f>
        <v>0</v>
      </c>
      <c r="D133" s="241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356</v>
      </c>
      <c r="C134" s="158"/>
      <c r="D134" s="243"/>
      <c r="E134" s="94"/>
    </row>
    <row r="135" spans="1:5" ht="12" customHeight="1">
      <c r="A135" s="187" t="s">
        <v>58</v>
      </c>
      <c r="B135" s="7" t="s">
        <v>348</v>
      </c>
      <c r="C135" s="158"/>
      <c r="D135" s="243"/>
      <c r="E135" s="94"/>
    </row>
    <row r="136" spans="1:5" ht="12" customHeight="1">
      <c r="A136" s="187" t="s">
        <v>59</v>
      </c>
      <c r="B136" s="7" t="s">
        <v>349</v>
      </c>
      <c r="C136" s="158"/>
      <c r="D136" s="243"/>
      <c r="E136" s="94"/>
    </row>
    <row r="137" spans="1:5" ht="12" customHeight="1">
      <c r="A137" s="187" t="s">
        <v>113</v>
      </c>
      <c r="B137" s="7" t="s">
        <v>398</v>
      </c>
      <c r="C137" s="158"/>
      <c r="D137" s="243"/>
      <c r="E137" s="94"/>
    </row>
    <row r="138" spans="1:5" ht="12" customHeight="1">
      <c r="A138" s="187" t="s">
        <v>114</v>
      </c>
      <c r="B138" s="7" t="s">
        <v>351</v>
      </c>
      <c r="C138" s="158"/>
      <c r="D138" s="243"/>
      <c r="E138" s="94"/>
    </row>
    <row r="139" spans="1:5" s="53" customFormat="1" ht="12" customHeight="1" thickBot="1">
      <c r="A139" s="196" t="s">
        <v>115</v>
      </c>
      <c r="B139" s="5" t="s">
        <v>352</v>
      </c>
      <c r="C139" s="158"/>
      <c r="D139" s="243"/>
      <c r="E139" s="94"/>
    </row>
    <row r="140" spans="1:5" ht="12" customHeight="1" thickBot="1">
      <c r="A140" s="25" t="s">
        <v>11</v>
      </c>
      <c r="B140" s="57" t="s">
        <v>413</v>
      </c>
      <c r="C140" s="163">
        <f>+C141+C142+C144+C145+C143</f>
        <v>0</v>
      </c>
      <c r="D140" s="245">
        <f>+D141+D142+D144+D145+D143</f>
        <v>0</v>
      </c>
      <c r="E140" s="199">
        <f>+E141+E142+E144+E145+E143</f>
        <v>0</v>
      </c>
    </row>
    <row r="141" spans="1:5" ht="12.75">
      <c r="A141" s="187" t="s">
        <v>60</v>
      </c>
      <c r="B141" s="7" t="s">
        <v>274</v>
      </c>
      <c r="C141" s="158"/>
      <c r="D141" s="243"/>
      <c r="E141" s="94"/>
    </row>
    <row r="142" spans="1:5" ht="12" customHeight="1">
      <c r="A142" s="187" t="s">
        <v>61</v>
      </c>
      <c r="B142" s="7" t="s">
        <v>275</v>
      </c>
      <c r="C142" s="158"/>
      <c r="D142" s="243"/>
      <c r="E142" s="94"/>
    </row>
    <row r="143" spans="1:5" ht="12" customHeight="1">
      <c r="A143" s="187" t="s">
        <v>191</v>
      </c>
      <c r="B143" s="7" t="s">
        <v>412</v>
      </c>
      <c r="C143" s="158"/>
      <c r="D143" s="243"/>
      <c r="E143" s="94"/>
    </row>
    <row r="144" spans="1:5" s="53" customFormat="1" ht="12" customHeight="1">
      <c r="A144" s="187" t="s">
        <v>192</v>
      </c>
      <c r="B144" s="7" t="s">
        <v>361</v>
      </c>
      <c r="C144" s="158"/>
      <c r="D144" s="243"/>
      <c r="E144" s="94"/>
    </row>
    <row r="145" spans="1:5" s="53" customFormat="1" ht="12" customHeight="1" thickBot="1">
      <c r="A145" s="196" t="s">
        <v>193</v>
      </c>
      <c r="B145" s="5" t="s">
        <v>291</v>
      </c>
      <c r="C145" s="158"/>
      <c r="D145" s="243"/>
      <c r="E145" s="94"/>
    </row>
    <row r="146" spans="1:5" s="53" customFormat="1" ht="12" customHeight="1" thickBot="1">
      <c r="A146" s="25" t="s">
        <v>12</v>
      </c>
      <c r="B146" s="57" t="s">
        <v>362</v>
      </c>
      <c r="C146" s="234">
        <f>+C147+C148+C149+C150+C151</f>
        <v>0</v>
      </c>
      <c r="D146" s="246">
        <f>+D147+D148+D149+D150+D151</f>
        <v>0</v>
      </c>
      <c r="E146" s="228">
        <f>+E147+E148+E149+E150+E151</f>
        <v>0</v>
      </c>
    </row>
    <row r="147" spans="1:5" s="53" customFormat="1" ht="12" customHeight="1">
      <c r="A147" s="187" t="s">
        <v>62</v>
      </c>
      <c r="B147" s="7" t="s">
        <v>357</v>
      </c>
      <c r="C147" s="158"/>
      <c r="D147" s="243"/>
      <c r="E147" s="94"/>
    </row>
    <row r="148" spans="1:5" s="53" customFormat="1" ht="12" customHeight="1">
      <c r="A148" s="187" t="s">
        <v>63</v>
      </c>
      <c r="B148" s="7" t="s">
        <v>364</v>
      </c>
      <c r="C148" s="158"/>
      <c r="D148" s="243"/>
      <c r="E148" s="94"/>
    </row>
    <row r="149" spans="1:5" s="53" customFormat="1" ht="12" customHeight="1">
      <c r="A149" s="187" t="s">
        <v>203</v>
      </c>
      <c r="B149" s="7" t="s">
        <v>359</v>
      </c>
      <c r="C149" s="158"/>
      <c r="D149" s="243"/>
      <c r="E149" s="94"/>
    </row>
    <row r="150" spans="1:5" s="53" customFormat="1" ht="12" customHeight="1">
      <c r="A150" s="187" t="s">
        <v>204</v>
      </c>
      <c r="B150" s="7" t="s">
        <v>401</v>
      </c>
      <c r="C150" s="158"/>
      <c r="D150" s="243"/>
      <c r="E150" s="94"/>
    </row>
    <row r="151" spans="1:5" ht="12.75" customHeight="1" thickBot="1">
      <c r="A151" s="196" t="s">
        <v>363</v>
      </c>
      <c r="B151" s="5" t="s">
        <v>366</v>
      </c>
      <c r="C151" s="160"/>
      <c r="D151" s="244"/>
      <c r="E151" s="96"/>
    </row>
    <row r="152" spans="1:5" ht="12.75" customHeight="1" thickBot="1">
      <c r="A152" s="223" t="s">
        <v>13</v>
      </c>
      <c r="B152" s="57" t="s">
        <v>367</v>
      </c>
      <c r="C152" s="234"/>
      <c r="D152" s="246"/>
      <c r="E152" s="228"/>
    </row>
    <row r="153" spans="1:5" ht="12.75" customHeight="1" thickBot="1">
      <c r="A153" s="223" t="s">
        <v>14</v>
      </c>
      <c r="B153" s="57" t="s">
        <v>368</v>
      </c>
      <c r="C153" s="234"/>
      <c r="D153" s="246"/>
      <c r="E153" s="228"/>
    </row>
    <row r="154" spans="1:5" ht="12" customHeight="1" thickBot="1">
      <c r="A154" s="25" t="s">
        <v>15</v>
      </c>
      <c r="B154" s="57" t="s">
        <v>370</v>
      </c>
      <c r="C154" s="236">
        <f>+C129+C133+C140+C146+C152+C153</f>
        <v>0</v>
      </c>
      <c r="D154" s="248">
        <f>+D129+D133+D140+D146+D152+D153</f>
        <v>0</v>
      </c>
      <c r="E154" s="230">
        <f>+E129+E133+E140+E146+E152+E153</f>
        <v>0</v>
      </c>
    </row>
    <row r="155" spans="1:5" ht="15" customHeight="1" thickBot="1">
      <c r="A155" s="198" t="s">
        <v>16</v>
      </c>
      <c r="B155" s="144" t="s">
        <v>369</v>
      </c>
      <c r="C155" s="236">
        <f>+C128+C154</f>
        <v>4500000</v>
      </c>
      <c r="D155" s="248">
        <f>+D128+D154</f>
        <v>2136960</v>
      </c>
      <c r="E155" s="230">
        <f>+E128+E154</f>
        <v>1903660</v>
      </c>
    </row>
    <row r="156" spans="1:5" ht="13.5" thickBot="1">
      <c r="A156" s="147"/>
      <c r="B156" s="148"/>
      <c r="C156" s="602">
        <f>C90-C155</f>
        <v>16020165</v>
      </c>
      <c r="D156" s="602">
        <f>D90-D155</f>
        <v>23829150</v>
      </c>
      <c r="E156" s="149"/>
    </row>
    <row r="157" spans="1:5" ht="15" customHeight="1" thickBot="1">
      <c r="A157" s="318" t="s">
        <v>490</v>
      </c>
      <c r="B157" s="319"/>
      <c r="C157" s="307"/>
      <c r="D157" s="307"/>
      <c r="E157" s="306"/>
    </row>
    <row r="158" spans="1:5" ht="14.25" customHeight="1" thickBot="1">
      <c r="A158" s="320" t="s">
        <v>491</v>
      </c>
      <c r="B158" s="321"/>
      <c r="C158" s="307"/>
      <c r="D158" s="307"/>
      <c r="E158" s="306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48">
      <selection activeCell="E6" sqref="E6"/>
    </sheetView>
  </sheetViews>
  <sheetFormatPr defaultColWidth="9.37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4"/>
      <c r="B1" s="803" t="str">
        <f>CONCATENATE("6.1.3. melléklet ",Z_ALAPADATOK!A7," ",Z_ALAPADATOK!B7," ",Z_ALAPADATOK!C7," ",Z_ALAPADATOK!D7," ",Z_ALAPADATOK!E7," ",Z_ALAPADATOK!F7," ",Z_ALAPADATOK!G7," ",Z_ALAPADATOK!H7)</f>
        <v>6.1.3. melléklet a … / 2020. ( … ) önkormányzati rendelethez</v>
      </c>
      <c r="C1" s="804"/>
      <c r="D1" s="804"/>
      <c r="E1" s="804"/>
    </row>
    <row r="2" spans="1:5" s="49" customFormat="1" ht="21" customHeight="1" thickBot="1">
      <c r="A2" s="383" t="s">
        <v>45</v>
      </c>
      <c r="B2" s="802" t="str">
        <f>CONCATENATE(Z_ALAPADATOK!A3)</f>
        <v>Balatonvilágos Község Önkormányzata</v>
      </c>
      <c r="C2" s="802"/>
      <c r="D2" s="802"/>
      <c r="E2" s="384" t="s">
        <v>39</v>
      </c>
    </row>
    <row r="3" spans="1:5" s="49" customFormat="1" ht="23.25" thickBot="1">
      <c r="A3" s="383" t="s">
        <v>134</v>
      </c>
      <c r="B3" s="802" t="s">
        <v>411</v>
      </c>
      <c r="C3" s="802"/>
      <c r="D3" s="802"/>
      <c r="E3" s="385" t="s">
        <v>43</v>
      </c>
    </row>
    <row r="4" spans="1:5" s="50" customFormat="1" ht="15.75" customHeight="1" thickBot="1">
      <c r="A4" s="377"/>
      <c r="B4" s="377"/>
      <c r="C4" s="378"/>
      <c r="D4" s="379"/>
      <c r="E4" s="378" t="str">
        <f>'Z_6.1.2.sz.mell'!E4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CONCATENATE('Z_6.1.2.sz.mell'!E5)</f>
        <v>Teljesítés
2019. XII. 31.</v>
      </c>
    </row>
    <row r="6" spans="1:5" s="45" customFormat="1" ht="12.75" customHeight="1" thickBot="1">
      <c r="A6" s="72" t="s">
        <v>381</v>
      </c>
      <c r="B6" s="73" t="s">
        <v>382</v>
      </c>
      <c r="C6" s="73" t="s">
        <v>383</v>
      </c>
      <c r="D6" s="301" t="s">
        <v>385</v>
      </c>
      <c r="E6" s="74" t="s">
        <v>384</v>
      </c>
    </row>
    <row r="7" spans="1:5" s="45" customFormat="1" ht="15.75" customHeight="1" thickBot="1">
      <c r="A7" s="799" t="s">
        <v>40</v>
      </c>
      <c r="B7" s="800"/>
      <c r="C7" s="800"/>
      <c r="D7" s="800"/>
      <c r="E7" s="801"/>
    </row>
    <row r="8" spans="1:5" s="45" customFormat="1" ht="12" customHeight="1" thickBot="1">
      <c r="A8" s="25" t="s">
        <v>6</v>
      </c>
      <c r="B8" s="19" t="s">
        <v>156</v>
      </c>
      <c r="C8" s="157">
        <f>+C9+C10+C11+C12+C13+C14</f>
        <v>0</v>
      </c>
      <c r="D8" s="241">
        <f>+D9+D10+D11+D12+D13+D14</f>
        <v>0</v>
      </c>
      <c r="E8" s="93">
        <f>+E9+E10+E11+E12+E13+E14</f>
        <v>0</v>
      </c>
    </row>
    <row r="9" spans="1:5" s="51" customFormat="1" ht="12" customHeight="1">
      <c r="A9" s="187" t="s">
        <v>64</v>
      </c>
      <c r="B9" s="170" t="s">
        <v>157</v>
      </c>
      <c r="C9" s="159"/>
      <c r="D9" s="242"/>
      <c r="E9" s="95"/>
    </row>
    <row r="10" spans="1:5" s="52" customFormat="1" ht="12" customHeight="1">
      <c r="A10" s="188" t="s">
        <v>65</v>
      </c>
      <c r="B10" s="171" t="s">
        <v>158</v>
      </c>
      <c r="C10" s="158"/>
      <c r="D10" s="243"/>
      <c r="E10" s="94"/>
    </row>
    <row r="11" spans="1:5" s="52" customFormat="1" ht="12" customHeight="1">
      <c r="A11" s="188" t="s">
        <v>66</v>
      </c>
      <c r="B11" s="171" t="s">
        <v>159</v>
      </c>
      <c r="C11" s="158"/>
      <c r="D11" s="243"/>
      <c r="E11" s="94"/>
    </row>
    <row r="12" spans="1:5" s="52" customFormat="1" ht="12" customHeight="1">
      <c r="A12" s="188" t="s">
        <v>67</v>
      </c>
      <c r="B12" s="171" t="s">
        <v>160</v>
      </c>
      <c r="C12" s="158"/>
      <c r="D12" s="243"/>
      <c r="E12" s="94"/>
    </row>
    <row r="13" spans="1:5" s="52" customFormat="1" ht="12" customHeight="1">
      <c r="A13" s="188" t="s">
        <v>96</v>
      </c>
      <c r="B13" s="171" t="s">
        <v>389</v>
      </c>
      <c r="C13" s="158"/>
      <c r="D13" s="243"/>
      <c r="E13" s="94"/>
    </row>
    <row r="14" spans="1:5" s="51" customFormat="1" ht="12" customHeight="1" thickBot="1">
      <c r="A14" s="189" t="s">
        <v>68</v>
      </c>
      <c r="B14" s="172" t="s">
        <v>330</v>
      </c>
      <c r="C14" s="158"/>
      <c r="D14" s="243"/>
      <c r="E14" s="94"/>
    </row>
    <row r="15" spans="1:5" s="51" customFormat="1" ht="12" customHeight="1" thickBot="1">
      <c r="A15" s="25" t="s">
        <v>7</v>
      </c>
      <c r="B15" s="100" t="s">
        <v>161</v>
      </c>
      <c r="C15" s="157">
        <f>+C16+C17+C18+C19+C20</f>
        <v>0</v>
      </c>
      <c r="D15" s="241">
        <f>+D16+D17+D18+D19+D20</f>
        <v>0</v>
      </c>
      <c r="E15" s="93">
        <f>+E16+E17+E18+E19+E20</f>
        <v>0</v>
      </c>
    </row>
    <row r="16" spans="1:5" s="51" customFormat="1" ht="12" customHeight="1">
      <c r="A16" s="187" t="s">
        <v>70</v>
      </c>
      <c r="B16" s="170" t="s">
        <v>162</v>
      </c>
      <c r="C16" s="159"/>
      <c r="D16" s="242"/>
      <c r="E16" s="95"/>
    </row>
    <row r="17" spans="1:5" s="51" customFormat="1" ht="12" customHeight="1">
      <c r="A17" s="188" t="s">
        <v>71</v>
      </c>
      <c r="B17" s="171" t="s">
        <v>163</v>
      </c>
      <c r="C17" s="158"/>
      <c r="D17" s="243"/>
      <c r="E17" s="94"/>
    </row>
    <row r="18" spans="1:5" s="51" customFormat="1" ht="12" customHeight="1">
      <c r="A18" s="188" t="s">
        <v>72</v>
      </c>
      <c r="B18" s="171" t="s">
        <v>321</v>
      </c>
      <c r="C18" s="158"/>
      <c r="D18" s="243"/>
      <c r="E18" s="94"/>
    </row>
    <row r="19" spans="1:5" s="51" customFormat="1" ht="12" customHeight="1">
      <c r="A19" s="188" t="s">
        <v>73</v>
      </c>
      <c r="B19" s="171" t="s">
        <v>322</v>
      </c>
      <c r="C19" s="158"/>
      <c r="D19" s="243"/>
      <c r="E19" s="94"/>
    </row>
    <row r="20" spans="1:5" s="51" customFormat="1" ht="12" customHeight="1">
      <c r="A20" s="188" t="s">
        <v>74</v>
      </c>
      <c r="B20" s="171" t="s">
        <v>164</v>
      </c>
      <c r="C20" s="158"/>
      <c r="D20" s="243"/>
      <c r="E20" s="94"/>
    </row>
    <row r="21" spans="1:5" s="52" customFormat="1" ht="12" customHeight="1" thickBot="1">
      <c r="A21" s="189" t="s">
        <v>81</v>
      </c>
      <c r="B21" s="172" t="s">
        <v>165</v>
      </c>
      <c r="C21" s="160"/>
      <c r="D21" s="244"/>
      <c r="E21" s="96"/>
    </row>
    <row r="22" spans="1:5" s="52" customFormat="1" ht="12" customHeight="1" thickBot="1">
      <c r="A22" s="25" t="s">
        <v>8</v>
      </c>
      <c r="B22" s="19" t="s">
        <v>166</v>
      </c>
      <c r="C22" s="157">
        <f>+C23+C24+C25+C26+C27</f>
        <v>0</v>
      </c>
      <c r="D22" s="241">
        <f>+D23+D24+D25+D26+D27</f>
        <v>0</v>
      </c>
      <c r="E22" s="93">
        <f>+E23+E24+E25+E26+E27</f>
        <v>0</v>
      </c>
    </row>
    <row r="23" spans="1:5" s="52" customFormat="1" ht="12" customHeight="1">
      <c r="A23" s="187" t="s">
        <v>53</v>
      </c>
      <c r="B23" s="170" t="s">
        <v>167</v>
      </c>
      <c r="C23" s="159"/>
      <c r="D23" s="242"/>
      <c r="E23" s="95"/>
    </row>
    <row r="24" spans="1:5" s="51" customFormat="1" ht="12" customHeight="1">
      <c r="A24" s="188" t="s">
        <v>54</v>
      </c>
      <c r="B24" s="171" t="s">
        <v>168</v>
      </c>
      <c r="C24" s="158"/>
      <c r="D24" s="243"/>
      <c r="E24" s="94"/>
    </row>
    <row r="25" spans="1:5" s="52" customFormat="1" ht="12" customHeight="1">
      <c r="A25" s="188" t="s">
        <v>55</v>
      </c>
      <c r="B25" s="171" t="s">
        <v>323</v>
      </c>
      <c r="C25" s="158"/>
      <c r="D25" s="243"/>
      <c r="E25" s="94"/>
    </row>
    <row r="26" spans="1:5" s="52" customFormat="1" ht="12" customHeight="1">
      <c r="A26" s="188" t="s">
        <v>56</v>
      </c>
      <c r="B26" s="171" t="s">
        <v>324</v>
      </c>
      <c r="C26" s="158"/>
      <c r="D26" s="243"/>
      <c r="E26" s="94"/>
    </row>
    <row r="27" spans="1:5" s="52" customFormat="1" ht="12" customHeight="1">
      <c r="A27" s="188" t="s">
        <v>109</v>
      </c>
      <c r="B27" s="171" t="s">
        <v>169</v>
      </c>
      <c r="C27" s="158"/>
      <c r="D27" s="243"/>
      <c r="E27" s="94"/>
    </row>
    <row r="28" spans="1:5" s="52" customFormat="1" ht="12" customHeight="1" thickBot="1">
      <c r="A28" s="189" t="s">
        <v>110</v>
      </c>
      <c r="B28" s="172" t="s">
        <v>170</v>
      </c>
      <c r="C28" s="160"/>
      <c r="D28" s="244"/>
      <c r="E28" s="96"/>
    </row>
    <row r="29" spans="1:5" s="52" customFormat="1" ht="12" customHeight="1" thickBot="1">
      <c r="A29" s="25" t="s">
        <v>111</v>
      </c>
      <c r="B29" s="19" t="s">
        <v>480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2" customFormat="1" ht="12" customHeight="1">
      <c r="A30" s="187" t="s">
        <v>171</v>
      </c>
      <c r="B30" s="170" t="s">
        <v>481</v>
      </c>
      <c r="C30" s="159">
        <f>+C31+C32+C33</f>
        <v>0</v>
      </c>
      <c r="D30" s="159">
        <f>+D31+D32+D33</f>
        <v>0</v>
      </c>
      <c r="E30" s="95">
        <f>+E31+E32+E33</f>
        <v>0</v>
      </c>
    </row>
    <row r="31" spans="1:5" s="52" customFormat="1" ht="12" customHeight="1">
      <c r="A31" s="188" t="s">
        <v>172</v>
      </c>
      <c r="B31" s="171" t="s">
        <v>482</v>
      </c>
      <c r="C31" s="158"/>
      <c r="D31" s="158"/>
      <c r="E31" s="94"/>
    </row>
    <row r="32" spans="1:5" s="52" customFormat="1" ht="12" customHeight="1">
      <c r="A32" s="188" t="s">
        <v>173</v>
      </c>
      <c r="B32" s="171" t="s">
        <v>483</v>
      </c>
      <c r="C32" s="158"/>
      <c r="D32" s="158"/>
      <c r="E32" s="94"/>
    </row>
    <row r="33" spans="1:5" s="52" customFormat="1" ht="12" customHeight="1">
      <c r="A33" s="188" t="s">
        <v>174</v>
      </c>
      <c r="B33" s="171" t="s">
        <v>484</v>
      </c>
      <c r="C33" s="158"/>
      <c r="D33" s="158"/>
      <c r="E33" s="94"/>
    </row>
    <row r="34" spans="1:5" s="52" customFormat="1" ht="12" customHeight="1">
      <c r="A34" s="188" t="s">
        <v>485</v>
      </c>
      <c r="B34" s="171" t="s">
        <v>175</v>
      </c>
      <c r="C34" s="158"/>
      <c r="D34" s="158"/>
      <c r="E34" s="94"/>
    </row>
    <row r="35" spans="1:5" s="52" customFormat="1" ht="12" customHeight="1">
      <c r="A35" s="188" t="s">
        <v>486</v>
      </c>
      <c r="B35" s="171" t="s">
        <v>176</v>
      </c>
      <c r="C35" s="158"/>
      <c r="D35" s="158"/>
      <c r="E35" s="94"/>
    </row>
    <row r="36" spans="1:5" s="52" customFormat="1" ht="12" customHeight="1" thickBot="1">
      <c r="A36" s="189" t="s">
        <v>487</v>
      </c>
      <c r="B36" s="317" t="s">
        <v>177</v>
      </c>
      <c r="C36" s="160"/>
      <c r="D36" s="160"/>
      <c r="E36" s="96"/>
    </row>
    <row r="37" spans="1:5" s="52" customFormat="1" ht="12" customHeight="1" thickBot="1">
      <c r="A37" s="25" t="s">
        <v>10</v>
      </c>
      <c r="B37" s="19" t="s">
        <v>331</v>
      </c>
      <c r="C37" s="157">
        <f>SUM(C38:C48)</f>
        <v>0</v>
      </c>
      <c r="D37" s="241">
        <f>SUM(D38:D48)</f>
        <v>0</v>
      </c>
      <c r="E37" s="93">
        <f>SUM(E38:E48)</f>
        <v>0</v>
      </c>
    </row>
    <row r="38" spans="1:5" s="52" customFormat="1" ht="12" customHeight="1">
      <c r="A38" s="187" t="s">
        <v>57</v>
      </c>
      <c r="B38" s="170" t="s">
        <v>180</v>
      </c>
      <c r="C38" s="159"/>
      <c r="D38" s="242"/>
      <c r="E38" s="95"/>
    </row>
    <row r="39" spans="1:5" s="52" customFormat="1" ht="12" customHeight="1">
      <c r="A39" s="188" t="s">
        <v>58</v>
      </c>
      <c r="B39" s="171" t="s">
        <v>181</v>
      </c>
      <c r="C39" s="158"/>
      <c r="D39" s="243"/>
      <c r="E39" s="94"/>
    </row>
    <row r="40" spans="1:5" s="52" customFormat="1" ht="12" customHeight="1">
      <c r="A40" s="188" t="s">
        <v>59</v>
      </c>
      <c r="B40" s="171" t="s">
        <v>182</v>
      </c>
      <c r="C40" s="158"/>
      <c r="D40" s="243"/>
      <c r="E40" s="94"/>
    </row>
    <row r="41" spans="1:5" s="52" customFormat="1" ht="12" customHeight="1">
      <c r="A41" s="188" t="s">
        <v>113</v>
      </c>
      <c r="B41" s="171" t="s">
        <v>183</v>
      </c>
      <c r="C41" s="158"/>
      <c r="D41" s="243"/>
      <c r="E41" s="94"/>
    </row>
    <row r="42" spans="1:5" s="52" customFormat="1" ht="12" customHeight="1">
      <c r="A42" s="188" t="s">
        <v>114</v>
      </c>
      <c r="B42" s="171" t="s">
        <v>184</v>
      </c>
      <c r="C42" s="158"/>
      <c r="D42" s="243"/>
      <c r="E42" s="94"/>
    </row>
    <row r="43" spans="1:5" s="52" customFormat="1" ht="12" customHeight="1">
      <c r="A43" s="188" t="s">
        <v>115</v>
      </c>
      <c r="B43" s="171" t="s">
        <v>185</v>
      </c>
      <c r="C43" s="158"/>
      <c r="D43" s="243"/>
      <c r="E43" s="94"/>
    </row>
    <row r="44" spans="1:5" s="52" customFormat="1" ht="12" customHeight="1">
      <c r="A44" s="188" t="s">
        <v>116</v>
      </c>
      <c r="B44" s="171" t="s">
        <v>186</v>
      </c>
      <c r="C44" s="158"/>
      <c r="D44" s="243"/>
      <c r="E44" s="94"/>
    </row>
    <row r="45" spans="1:5" s="52" customFormat="1" ht="12" customHeight="1">
      <c r="A45" s="188" t="s">
        <v>117</v>
      </c>
      <c r="B45" s="171" t="s">
        <v>488</v>
      </c>
      <c r="C45" s="158"/>
      <c r="D45" s="243"/>
      <c r="E45" s="94"/>
    </row>
    <row r="46" spans="1:5" s="52" customFormat="1" ht="12" customHeight="1">
      <c r="A46" s="188" t="s">
        <v>178</v>
      </c>
      <c r="B46" s="171" t="s">
        <v>188</v>
      </c>
      <c r="C46" s="161"/>
      <c r="D46" s="302"/>
      <c r="E46" s="97"/>
    </row>
    <row r="47" spans="1:5" s="52" customFormat="1" ht="12" customHeight="1">
      <c r="A47" s="189" t="s">
        <v>179</v>
      </c>
      <c r="B47" s="172" t="s">
        <v>333</v>
      </c>
      <c r="C47" s="162"/>
      <c r="D47" s="303"/>
      <c r="E47" s="98"/>
    </row>
    <row r="48" spans="1:5" s="52" customFormat="1" ht="12" customHeight="1" thickBot="1">
      <c r="A48" s="189" t="s">
        <v>332</v>
      </c>
      <c r="B48" s="172" t="s">
        <v>189</v>
      </c>
      <c r="C48" s="162"/>
      <c r="D48" s="303"/>
      <c r="E48" s="98"/>
    </row>
    <row r="49" spans="1:5" s="52" customFormat="1" ht="12" customHeight="1" thickBot="1">
      <c r="A49" s="25" t="s">
        <v>11</v>
      </c>
      <c r="B49" s="19" t="s">
        <v>190</v>
      </c>
      <c r="C49" s="157">
        <f>SUM(C50:C54)</f>
        <v>0</v>
      </c>
      <c r="D49" s="241">
        <f>SUM(D50:D54)</f>
        <v>0</v>
      </c>
      <c r="E49" s="93">
        <f>SUM(E50:E54)</f>
        <v>0</v>
      </c>
    </row>
    <row r="50" spans="1:5" s="52" customFormat="1" ht="12" customHeight="1">
      <c r="A50" s="187" t="s">
        <v>60</v>
      </c>
      <c r="B50" s="170" t="s">
        <v>194</v>
      </c>
      <c r="C50" s="210"/>
      <c r="D50" s="304"/>
      <c r="E50" s="99"/>
    </row>
    <row r="51" spans="1:5" s="52" customFormat="1" ht="12" customHeight="1">
      <c r="A51" s="188" t="s">
        <v>61</v>
      </c>
      <c r="B51" s="171" t="s">
        <v>195</v>
      </c>
      <c r="C51" s="161"/>
      <c r="D51" s="302"/>
      <c r="E51" s="97"/>
    </row>
    <row r="52" spans="1:5" s="52" customFormat="1" ht="12" customHeight="1">
      <c r="A52" s="188" t="s">
        <v>191</v>
      </c>
      <c r="B52" s="171" t="s">
        <v>196</v>
      </c>
      <c r="C52" s="161"/>
      <c r="D52" s="302"/>
      <c r="E52" s="97"/>
    </row>
    <row r="53" spans="1:5" s="52" customFormat="1" ht="12" customHeight="1">
      <c r="A53" s="188" t="s">
        <v>192</v>
      </c>
      <c r="B53" s="171" t="s">
        <v>197</v>
      </c>
      <c r="C53" s="161"/>
      <c r="D53" s="302"/>
      <c r="E53" s="97"/>
    </row>
    <row r="54" spans="1:5" s="52" customFormat="1" ht="12" customHeight="1" thickBot="1">
      <c r="A54" s="189" t="s">
        <v>193</v>
      </c>
      <c r="B54" s="172" t="s">
        <v>198</v>
      </c>
      <c r="C54" s="162"/>
      <c r="D54" s="303"/>
      <c r="E54" s="98"/>
    </row>
    <row r="55" spans="1:5" s="52" customFormat="1" ht="12" customHeight="1" thickBot="1">
      <c r="A55" s="25" t="s">
        <v>118</v>
      </c>
      <c r="B55" s="19" t="s">
        <v>199</v>
      </c>
      <c r="C55" s="157">
        <f>SUM(C56:C58)</f>
        <v>0</v>
      </c>
      <c r="D55" s="241">
        <f>SUM(D56:D58)</f>
        <v>0</v>
      </c>
      <c r="E55" s="93">
        <f>SUM(E56:E58)</f>
        <v>0</v>
      </c>
    </row>
    <row r="56" spans="1:5" s="52" customFormat="1" ht="12" customHeight="1">
      <c r="A56" s="187" t="s">
        <v>62</v>
      </c>
      <c r="B56" s="170" t="s">
        <v>200</v>
      </c>
      <c r="C56" s="159"/>
      <c r="D56" s="242"/>
      <c r="E56" s="95"/>
    </row>
    <row r="57" spans="1:5" s="52" customFormat="1" ht="12" customHeight="1">
      <c r="A57" s="188" t="s">
        <v>63</v>
      </c>
      <c r="B57" s="171" t="s">
        <v>325</v>
      </c>
      <c r="C57" s="158"/>
      <c r="D57" s="243"/>
      <c r="E57" s="94"/>
    </row>
    <row r="58" spans="1:5" s="52" customFormat="1" ht="12" customHeight="1">
      <c r="A58" s="188" t="s">
        <v>203</v>
      </c>
      <c r="B58" s="171" t="s">
        <v>201</v>
      </c>
      <c r="C58" s="158"/>
      <c r="D58" s="243"/>
      <c r="E58" s="94"/>
    </row>
    <row r="59" spans="1:5" s="52" customFormat="1" ht="12" customHeight="1" thickBot="1">
      <c r="A59" s="189" t="s">
        <v>204</v>
      </c>
      <c r="B59" s="172" t="s">
        <v>202</v>
      </c>
      <c r="C59" s="160"/>
      <c r="D59" s="244"/>
      <c r="E59" s="96"/>
    </row>
    <row r="60" spans="1:5" s="52" customFormat="1" ht="12" customHeight="1" thickBot="1">
      <c r="A60" s="25" t="s">
        <v>13</v>
      </c>
      <c r="B60" s="100" t="s">
        <v>205</v>
      </c>
      <c r="C60" s="157">
        <f>SUM(C61:C63)</f>
        <v>0</v>
      </c>
      <c r="D60" s="241">
        <f>SUM(D61:D63)</f>
        <v>0</v>
      </c>
      <c r="E60" s="93">
        <f>SUM(E61:E63)</f>
        <v>0</v>
      </c>
    </row>
    <row r="61" spans="1:5" s="52" customFormat="1" ht="12" customHeight="1">
      <c r="A61" s="187" t="s">
        <v>119</v>
      </c>
      <c r="B61" s="170" t="s">
        <v>207</v>
      </c>
      <c r="C61" s="161"/>
      <c r="D61" s="302"/>
      <c r="E61" s="97"/>
    </row>
    <row r="62" spans="1:5" s="52" customFormat="1" ht="12" customHeight="1">
      <c r="A62" s="188" t="s">
        <v>120</v>
      </c>
      <c r="B62" s="171" t="s">
        <v>326</v>
      </c>
      <c r="C62" s="161"/>
      <c r="D62" s="302"/>
      <c r="E62" s="97"/>
    </row>
    <row r="63" spans="1:5" s="52" customFormat="1" ht="12" customHeight="1">
      <c r="A63" s="188" t="s">
        <v>139</v>
      </c>
      <c r="B63" s="171" t="s">
        <v>208</v>
      </c>
      <c r="C63" s="161"/>
      <c r="D63" s="302"/>
      <c r="E63" s="97"/>
    </row>
    <row r="64" spans="1:5" s="52" customFormat="1" ht="12" customHeight="1" thickBot="1">
      <c r="A64" s="189" t="s">
        <v>206</v>
      </c>
      <c r="B64" s="172" t="s">
        <v>209</v>
      </c>
      <c r="C64" s="161"/>
      <c r="D64" s="302"/>
      <c r="E64" s="97"/>
    </row>
    <row r="65" spans="1:5" s="52" customFormat="1" ht="12" customHeight="1" thickBot="1">
      <c r="A65" s="25" t="s">
        <v>14</v>
      </c>
      <c r="B65" s="19" t="s">
        <v>210</v>
      </c>
      <c r="C65" s="163">
        <f>+C8+C15+C22+C29+C37+C49+C55+C60</f>
        <v>0</v>
      </c>
      <c r="D65" s="245">
        <f>+D8+D15+D22+D29+D37+D49+D55+D60</f>
        <v>0</v>
      </c>
      <c r="E65" s="199">
        <f>+E8+E15+E22+E29+E37+E49+E55+E60</f>
        <v>0</v>
      </c>
    </row>
    <row r="66" spans="1:5" s="52" customFormat="1" ht="12" customHeight="1" thickBot="1">
      <c r="A66" s="190" t="s">
        <v>295</v>
      </c>
      <c r="B66" s="100" t="s">
        <v>212</v>
      </c>
      <c r="C66" s="157">
        <f>SUM(C67:C69)</f>
        <v>0</v>
      </c>
      <c r="D66" s="241">
        <f>SUM(D67:D69)</f>
        <v>0</v>
      </c>
      <c r="E66" s="93">
        <f>SUM(E67:E69)</f>
        <v>0</v>
      </c>
    </row>
    <row r="67" spans="1:5" s="52" customFormat="1" ht="12" customHeight="1">
      <c r="A67" s="187" t="s">
        <v>240</v>
      </c>
      <c r="B67" s="170" t="s">
        <v>213</v>
      </c>
      <c r="C67" s="161"/>
      <c r="D67" s="302"/>
      <c r="E67" s="97"/>
    </row>
    <row r="68" spans="1:5" s="52" customFormat="1" ht="12" customHeight="1">
      <c r="A68" s="188" t="s">
        <v>249</v>
      </c>
      <c r="B68" s="171" t="s">
        <v>214</v>
      </c>
      <c r="C68" s="161"/>
      <c r="D68" s="302"/>
      <c r="E68" s="97"/>
    </row>
    <row r="69" spans="1:5" s="52" customFormat="1" ht="12" customHeight="1" thickBot="1">
      <c r="A69" s="189" t="s">
        <v>250</v>
      </c>
      <c r="B69" s="173" t="s">
        <v>215</v>
      </c>
      <c r="C69" s="161"/>
      <c r="D69" s="305"/>
      <c r="E69" s="97"/>
    </row>
    <row r="70" spans="1:5" s="52" customFormat="1" ht="12" customHeight="1" thickBot="1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2" customFormat="1" ht="12" customHeight="1">
      <c r="A71" s="187" t="s">
        <v>97</v>
      </c>
      <c r="B71" s="354" t="s">
        <v>218</v>
      </c>
      <c r="C71" s="161"/>
      <c r="D71" s="161"/>
      <c r="E71" s="97"/>
    </row>
    <row r="72" spans="1:5" s="52" customFormat="1" ht="12" customHeight="1">
      <c r="A72" s="188" t="s">
        <v>98</v>
      </c>
      <c r="B72" s="354" t="s">
        <v>495</v>
      </c>
      <c r="C72" s="161"/>
      <c r="D72" s="161"/>
      <c r="E72" s="97"/>
    </row>
    <row r="73" spans="1:5" s="52" customFormat="1" ht="12" customHeight="1">
      <c r="A73" s="188" t="s">
        <v>241</v>
      </c>
      <c r="B73" s="354" t="s">
        <v>219</v>
      </c>
      <c r="C73" s="161"/>
      <c r="D73" s="161"/>
      <c r="E73" s="97"/>
    </row>
    <row r="74" spans="1:5" s="52" customFormat="1" ht="12" customHeight="1" thickBot="1">
      <c r="A74" s="189" t="s">
        <v>242</v>
      </c>
      <c r="B74" s="355" t="s">
        <v>496</v>
      </c>
      <c r="C74" s="161"/>
      <c r="D74" s="161"/>
      <c r="E74" s="97"/>
    </row>
    <row r="75" spans="1:5" s="52" customFormat="1" ht="12" customHeight="1" thickBot="1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2" customFormat="1" ht="12" customHeight="1">
      <c r="A76" s="187" t="s">
        <v>243</v>
      </c>
      <c r="B76" s="170" t="s">
        <v>222</v>
      </c>
      <c r="C76" s="161"/>
      <c r="D76" s="161"/>
      <c r="E76" s="97"/>
    </row>
    <row r="77" spans="1:5" s="52" customFormat="1" ht="12" customHeight="1" thickBot="1">
      <c r="A77" s="189" t="s">
        <v>244</v>
      </c>
      <c r="B77" s="172" t="s">
        <v>223</v>
      </c>
      <c r="C77" s="161"/>
      <c r="D77" s="161"/>
      <c r="E77" s="97"/>
    </row>
    <row r="78" spans="1:5" s="51" customFormat="1" ht="12" customHeight="1" thickBot="1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2" customFormat="1" ht="12" customHeight="1">
      <c r="A79" s="187" t="s">
        <v>245</v>
      </c>
      <c r="B79" s="170" t="s">
        <v>226</v>
      </c>
      <c r="C79" s="161"/>
      <c r="D79" s="161"/>
      <c r="E79" s="97"/>
    </row>
    <row r="80" spans="1:5" s="52" customFormat="1" ht="12" customHeight="1">
      <c r="A80" s="188" t="s">
        <v>246</v>
      </c>
      <c r="B80" s="171" t="s">
        <v>227</v>
      </c>
      <c r="C80" s="161"/>
      <c r="D80" s="161"/>
      <c r="E80" s="97"/>
    </row>
    <row r="81" spans="1:5" s="52" customFormat="1" ht="12" customHeight="1" thickBot="1">
      <c r="A81" s="189" t="s">
        <v>247</v>
      </c>
      <c r="B81" s="172" t="s">
        <v>497</v>
      </c>
      <c r="C81" s="161"/>
      <c r="D81" s="161"/>
      <c r="E81" s="97"/>
    </row>
    <row r="82" spans="1:5" s="52" customFormat="1" ht="12" customHeight="1" thickBot="1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2" customFormat="1" ht="12" customHeight="1">
      <c r="A83" s="191" t="s">
        <v>229</v>
      </c>
      <c r="B83" s="170" t="s">
        <v>230</v>
      </c>
      <c r="C83" s="161"/>
      <c r="D83" s="161"/>
      <c r="E83" s="97"/>
    </row>
    <row r="84" spans="1:5" s="52" customFormat="1" ht="12" customHeight="1">
      <c r="A84" s="192" t="s">
        <v>231</v>
      </c>
      <c r="B84" s="171" t="s">
        <v>232</v>
      </c>
      <c r="C84" s="161"/>
      <c r="D84" s="161"/>
      <c r="E84" s="97"/>
    </row>
    <row r="85" spans="1:5" s="52" customFormat="1" ht="12" customHeight="1">
      <c r="A85" s="192" t="s">
        <v>233</v>
      </c>
      <c r="B85" s="171" t="s">
        <v>234</v>
      </c>
      <c r="C85" s="161"/>
      <c r="D85" s="161"/>
      <c r="E85" s="97"/>
    </row>
    <row r="86" spans="1:5" s="51" customFormat="1" ht="12" customHeight="1" thickBot="1">
      <c r="A86" s="193" t="s">
        <v>235</v>
      </c>
      <c r="B86" s="172" t="s">
        <v>236</v>
      </c>
      <c r="C86" s="161"/>
      <c r="D86" s="161"/>
      <c r="E86" s="97"/>
    </row>
    <row r="87" spans="1:5" s="51" customFormat="1" ht="12" customHeight="1" thickBot="1">
      <c r="A87" s="190" t="s">
        <v>237</v>
      </c>
      <c r="B87" s="100" t="s">
        <v>372</v>
      </c>
      <c r="C87" s="213"/>
      <c r="D87" s="213"/>
      <c r="E87" s="214"/>
    </row>
    <row r="88" spans="1:5" s="51" customFormat="1" ht="12" customHeight="1" thickBot="1">
      <c r="A88" s="190" t="s">
        <v>390</v>
      </c>
      <c r="B88" s="100" t="s">
        <v>238</v>
      </c>
      <c r="C88" s="213"/>
      <c r="D88" s="213"/>
      <c r="E88" s="214"/>
    </row>
    <row r="89" spans="1:5" s="51" customFormat="1" ht="12" customHeight="1" thickBot="1">
      <c r="A89" s="190" t="s">
        <v>391</v>
      </c>
      <c r="B89" s="177" t="s">
        <v>375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1" customFormat="1" ht="12" customHeight="1" thickBot="1">
      <c r="A90" s="194" t="s">
        <v>392</v>
      </c>
      <c r="B90" s="178" t="s">
        <v>393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3" s="52" customFormat="1" ht="15" customHeight="1" thickBot="1">
      <c r="A91" s="83"/>
      <c r="B91" s="84"/>
      <c r="C91" s="139"/>
    </row>
    <row r="92" spans="1:5" s="45" customFormat="1" ht="16.5" customHeight="1" thickBot="1">
      <c r="A92" s="799" t="s">
        <v>41</v>
      </c>
      <c r="B92" s="800"/>
      <c r="C92" s="800"/>
      <c r="D92" s="800"/>
      <c r="E92" s="801"/>
    </row>
    <row r="93" spans="1:5" s="53" customFormat="1" ht="12" customHeight="1" thickBot="1">
      <c r="A93" s="164" t="s">
        <v>6</v>
      </c>
      <c r="B93" s="24" t="s">
        <v>397</v>
      </c>
      <c r="C93" s="156">
        <f>+C94+C95+C96+C97+C98+C111</f>
        <v>0</v>
      </c>
      <c r="D93" s="156">
        <f>+D94+D95+D96+D97+D98+D111</f>
        <v>0</v>
      </c>
      <c r="E93" s="224">
        <f>+E94+E95+E96+E97+E98+E111</f>
        <v>0</v>
      </c>
    </row>
    <row r="94" spans="1:5" ht="12" customHeight="1">
      <c r="A94" s="195" t="s">
        <v>64</v>
      </c>
      <c r="B94" s="8" t="s">
        <v>35</v>
      </c>
      <c r="C94" s="231"/>
      <c r="D94" s="231"/>
      <c r="E94" s="225"/>
    </row>
    <row r="95" spans="1:5" ht="12" customHeight="1">
      <c r="A95" s="188" t="s">
        <v>65</v>
      </c>
      <c r="B95" s="6" t="s">
        <v>121</v>
      </c>
      <c r="C95" s="158"/>
      <c r="D95" s="158"/>
      <c r="E95" s="94"/>
    </row>
    <row r="96" spans="1:5" ht="12" customHeight="1">
      <c r="A96" s="188" t="s">
        <v>66</v>
      </c>
      <c r="B96" s="6" t="s">
        <v>92</v>
      </c>
      <c r="C96" s="160"/>
      <c r="D96" s="158"/>
      <c r="E96" s="96"/>
    </row>
    <row r="97" spans="1:5" ht="12" customHeight="1">
      <c r="A97" s="188" t="s">
        <v>67</v>
      </c>
      <c r="B97" s="9" t="s">
        <v>122</v>
      </c>
      <c r="C97" s="160"/>
      <c r="D97" s="244"/>
      <c r="E97" s="96"/>
    </row>
    <row r="98" spans="1:5" ht="12" customHeight="1">
      <c r="A98" s="188" t="s">
        <v>76</v>
      </c>
      <c r="B98" s="17" t="s">
        <v>123</v>
      </c>
      <c r="C98" s="160"/>
      <c r="D98" s="244"/>
      <c r="E98" s="96"/>
    </row>
    <row r="99" spans="1:5" ht="12" customHeight="1">
      <c r="A99" s="188" t="s">
        <v>68</v>
      </c>
      <c r="B99" s="6" t="s">
        <v>394</v>
      </c>
      <c r="C99" s="160"/>
      <c r="D99" s="244"/>
      <c r="E99" s="96"/>
    </row>
    <row r="100" spans="1:5" ht="12" customHeight="1">
      <c r="A100" s="188" t="s">
        <v>69</v>
      </c>
      <c r="B100" s="63" t="s">
        <v>338</v>
      </c>
      <c r="C100" s="160"/>
      <c r="D100" s="244"/>
      <c r="E100" s="96"/>
    </row>
    <row r="101" spans="1:5" ht="12" customHeight="1">
      <c r="A101" s="188" t="s">
        <v>77</v>
      </c>
      <c r="B101" s="63" t="s">
        <v>337</v>
      </c>
      <c r="C101" s="160"/>
      <c r="D101" s="244"/>
      <c r="E101" s="96"/>
    </row>
    <row r="102" spans="1:5" ht="12" customHeight="1">
      <c r="A102" s="188" t="s">
        <v>78</v>
      </c>
      <c r="B102" s="63" t="s">
        <v>254</v>
      </c>
      <c r="C102" s="160"/>
      <c r="D102" s="244"/>
      <c r="E102" s="96"/>
    </row>
    <row r="103" spans="1:5" ht="12" customHeight="1">
      <c r="A103" s="188" t="s">
        <v>79</v>
      </c>
      <c r="B103" s="64" t="s">
        <v>255</v>
      </c>
      <c r="C103" s="160"/>
      <c r="D103" s="244"/>
      <c r="E103" s="96"/>
    </row>
    <row r="104" spans="1:5" ht="12" customHeight="1">
      <c r="A104" s="188" t="s">
        <v>80</v>
      </c>
      <c r="B104" s="64" t="s">
        <v>256</v>
      </c>
      <c r="C104" s="160"/>
      <c r="D104" s="244"/>
      <c r="E104" s="96"/>
    </row>
    <row r="105" spans="1:5" ht="12" customHeight="1">
      <c r="A105" s="188" t="s">
        <v>82</v>
      </c>
      <c r="B105" s="63" t="s">
        <v>257</v>
      </c>
      <c r="C105" s="160"/>
      <c r="D105" s="244"/>
      <c r="E105" s="96"/>
    </row>
    <row r="106" spans="1:5" ht="12" customHeight="1">
      <c r="A106" s="188" t="s">
        <v>124</v>
      </c>
      <c r="B106" s="63" t="s">
        <v>258</v>
      </c>
      <c r="C106" s="160"/>
      <c r="D106" s="244"/>
      <c r="E106" s="96"/>
    </row>
    <row r="107" spans="1:5" ht="12" customHeight="1">
      <c r="A107" s="188" t="s">
        <v>252</v>
      </c>
      <c r="B107" s="64" t="s">
        <v>259</v>
      </c>
      <c r="C107" s="158"/>
      <c r="D107" s="244"/>
      <c r="E107" s="96"/>
    </row>
    <row r="108" spans="1:5" ht="12" customHeight="1">
      <c r="A108" s="196" t="s">
        <v>253</v>
      </c>
      <c r="B108" s="65" t="s">
        <v>260</v>
      </c>
      <c r="C108" s="160"/>
      <c r="D108" s="244"/>
      <c r="E108" s="96"/>
    </row>
    <row r="109" spans="1:5" ht="12" customHeight="1">
      <c r="A109" s="188" t="s">
        <v>335</v>
      </c>
      <c r="B109" s="65" t="s">
        <v>261</v>
      </c>
      <c r="C109" s="160"/>
      <c r="D109" s="244"/>
      <c r="E109" s="96"/>
    </row>
    <row r="110" spans="1:5" ht="12" customHeight="1">
      <c r="A110" s="188" t="s">
        <v>336</v>
      </c>
      <c r="B110" s="64" t="s">
        <v>262</v>
      </c>
      <c r="C110" s="158"/>
      <c r="D110" s="243"/>
      <c r="E110" s="94"/>
    </row>
    <row r="111" spans="1:5" ht="12" customHeight="1">
      <c r="A111" s="188" t="s">
        <v>340</v>
      </c>
      <c r="B111" s="9" t="s">
        <v>36</v>
      </c>
      <c r="C111" s="158"/>
      <c r="D111" s="243"/>
      <c r="E111" s="94"/>
    </row>
    <row r="112" spans="1:5" ht="12" customHeight="1">
      <c r="A112" s="189" t="s">
        <v>341</v>
      </c>
      <c r="B112" s="6" t="s">
        <v>395</v>
      </c>
      <c r="C112" s="160"/>
      <c r="D112" s="244"/>
      <c r="E112" s="96"/>
    </row>
    <row r="113" spans="1:5" ht="12" customHeight="1" thickBot="1">
      <c r="A113" s="197" t="s">
        <v>342</v>
      </c>
      <c r="B113" s="66" t="s">
        <v>396</v>
      </c>
      <c r="C113" s="232"/>
      <c r="D113" s="308"/>
      <c r="E113" s="226"/>
    </row>
    <row r="114" spans="1:5" ht="12" customHeight="1" thickBot="1">
      <c r="A114" s="25" t="s">
        <v>7</v>
      </c>
      <c r="B114" s="23" t="s">
        <v>263</v>
      </c>
      <c r="C114" s="157">
        <f>+C115+C117+C119</f>
        <v>0</v>
      </c>
      <c r="D114" s="241">
        <f>+D115+D117+D119</f>
        <v>0</v>
      </c>
      <c r="E114" s="93">
        <f>+E115+E117+E119</f>
        <v>0</v>
      </c>
    </row>
    <row r="115" spans="1:5" ht="12" customHeight="1">
      <c r="A115" s="187" t="s">
        <v>70</v>
      </c>
      <c r="B115" s="6" t="s">
        <v>138</v>
      </c>
      <c r="C115" s="159"/>
      <c r="D115" s="242"/>
      <c r="E115" s="95"/>
    </row>
    <row r="116" spans="1:5" ht="12" customHeight="1">
      <c r="A116" s="187" t="s">
        <v>71</v>
      </c>
      <c r="B116" s="10" t="s">
        <v>267</v>
      </c>
      <c r="C116" s="159"/>
      <c r="D116" s="242"/>
      <c r="E116" s="95"/>
    </row>
    <row r="117" spans="1:5" ht="12" customHeight="1">
      <c r="A117" s="187" t="s">
        <v>72</v>
      </c>
      <c r="B117" s="10" t="s">
        <v>125</v>
      </c>
      <c r="C117" s="158"/>
      <c r="D117" s="243"/>
      <c r="E117" s="94"/>
    </row>
    <row r="118" spans="1:5" ht="12" customHeight="1">
      <c r="A118" s="187" t="s">
        <v>73</v>
      </c>
      <c r="B118" s="10" t="s">
        <v>268</v>
      </c>
      <c r="C118" s="158"/>
      <c r="D118" s="243"/>
      <c r="E118" s="94"/>
    </row>
    <row r="119" spans="1:5" ht="12" customHeight="1">
      <c r="A119" s="187" t="s">
        <v>74</v>
      </c>
      <c r="B119" s="102" t="s">
        <v>140</v>
      </c>
      <c r="C119" s="158"/>
      <c r="D119" s="243"/>
      <c r="E119" s="94"/>
    </row>
    <row r="120" spans="1:5" ht="12" customHeight="1">
      <c r="A120" s="187" t="s">
        <v>81</v>
      </c>
      <c r="B120" s="101" t="s">
        <v>327</v>
      </c>
      <c r="C120" s="158"/>
      <c r="D120" s="243"/>
      <c r="E120" s="94"/>
    </row>
    <row r="121" spans="1:5" ht="12" customHeight="1">
      <c r="A121" s="187" t="s">
        <v>83</v>
      </c>
      <c r="B121" s="166" t="s">
        <v>273</v>
      </c>
      <c r="C121" s="158"/>
      <c r="D121" s="243"/>
      <c r="E121" s="94"/>
    </row>
    <row r="122" spans="1:5" ht="12" customHeight="1">
      <c r="A122" s="187" t="s">
        <v>126</v>
      </c>
      <c r="B122" s="64" t="s">
        <v>256</v>
      </c>
      <c r="C122" s="158"/>
      <c r="D122" s="243"/>
      <c r="E122" s="94"/>
    </row>
    <row r="123" spans="1:5" ht="12" customHeight="1">
      <c r="A123" s="187" t="s">
        <v>127</v>
      </c>
      <c r="B123" s="64" t="s">
        <v>272</v>
      </c>
      <c r="C123" s="158"/>
      <c r="D123" s="243"/>
      <c r="E123" s="94"/>
    </row>
    <row r="124" spans="1:5" ht="12" customHeight="1">
      <c r="A124" s="187" t="s">
        <v>128</v>
      </c>
      <c r="B124" s="64" t="s">
        <v>271</v>
      </c>
      <c r="C124" s="158"/>
      <c r="D124" s="243"/>
      <c r="E124" s="94"/>
    </row>
    <row r="125" spans="1:5" ht="12" customHeight="1">
      <c r="A125" s="187" t="s">
        <v>264</v>
      </c>
      <c r="B125" s="64" t="s">
        <v>259</v>
      </c>
      <c r="C125" s="158"/>
      <c r="D125" s="243"/>
      <c r="E125" s="94"/>
    </row>
    <row r="126" spans="1:5" ht="12" customHeight="1">
      <c r="A126" s="187" t="s">
        <v>265</v>
      </c>
      <c r="B126" s="64" t="s">
        <v>270</v>
      </c>
      <c r="C126" s="158"/>
      <c r="D126" s="243"/>
      <c r="E126" s="94"/>
    </row>
    <row r="127" spans="1:5" ht="12" customHeight="1" thickBot="1">
      <c r="A127" s="196" t="s">
        <v>266</v>
      </c>
      <c r="B127" s="64" t="s">
        <v>269</v>
      </c>
      <c r="C127" s="160"/>
      <c r="D127" s="244"/>
      <c r="E127" s="96"/>
    </row>
    <row r="128" spans="1:5" ht="12" customHeight="1" thickBot="1">
      <c r="A128" s="25" t="s">
        <v>8</v>
      </c>
      <c r="B128" s="57" t="s">
        <v>345</v>
      </c>
      <c r="C128" s="157">
        <f>+C93+C114</f>
        <v>0</v>
      </c>
      <c r="D128" s="241">
        <f>+D93+D114</f>
        <v>0</v>
      </c>
      <c r="E128" s="93">
        <f>+E93+E114</f>
        <v>0</v>
      </c>
    </row>
    <row r="129" spans="1:5" ht="12" customHeight="1" thickBot="1">
      <c r="A129" s="25" t="s">
        <v>9</v>
      </c>
      <c r="B129" s="57" t="s">
        <v>346</v>
      </c>
      <c r="C129" s="157">
        <f>+C130+C131+C132</f>
        <v>0</v>
      </c>
      <c r="D129" s="241">
        <f>+D130+D131+D132</f>
        <v>0</v>
      </c>
      <c r="E129" s="93">
        <f>+E130+E131+E132</f>
        <v>0</v>
      </c>
    </row>
    <row r="130" spans="1:5" s="53" customFormat="1" ht="12" customHeight="1">
      <c r="A130" s="187" t="s">
        <v>171</v>
      </c>
      <c r="B130" s="7" t="s">
        <v>400</v>
      </c>
      <c r="C130" s="158"/>
      <c r="D130" s="243"/>
      <c r="E130" s="94"/>
    </row>
    <row r="131" spans="1:5" ht="12" customHeight="1">
      <c r="A131" s="187" t="s">
        <v>172</v>
      </c>
      <c r="B131" s="7" t="s">
        <v>354</v>
      </c>
      <c r="C131" s="158"/>
      <c r="D131" s="243"/>
      <c r="E131" s="94"/>
    </row>
    <row r="132" spans="1:5" ht="12" customHeight="1" thickBot="1">
      <c r="A132" s="196" t="s">
        <v>173</v>
      </c>
      <c r="B132" s="5" t="s">
        <v>399</v>
      </c>
      <c r="C132" s="158"/>
      <c r="D132" s="243"/>
      <c r="E132" s="94"/>
    </row>
    <row r="133" spans="1:5" ht="12" customHeight="1" thickBot="1">
      <c r="A133" s="25" t="s">
        <v>10</v>
      </c>
      <c r="B133" s="57" t="s">
        <v>347</v>
      </c>
      <c r="C133" s="157">
        <f>+C134+C135+C136+C137+C138+C139</f>
        <v>0</v>
      </c>
      <c r="D133" s="241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356</v>
      </c>
      <c r="C134" s="158"/>
      <c r="D134" s="243"/>
      <c r="E134" s="94"/>
    </row>
    <row r="135" spans="1:5" ht="12" customHeight="1">
      <c r="A135" s="187" t="s">
        <v>58</v>
      </c>
      <c r="B135" s="7" t="s">
        <v>348</v>
      </c>
      <c r="C135" s="158"/>
      <c r="D135" s="243"/>
      <c r="E135" s="94"/>
    </row>
    <row r="136" spans="1:5" ht="12" customHeight="1">
      <c r="A136" s="187" t="s">
        <v>59</v>
      </c>
      <c r="B136" s="7" t="s">
        <v>349</v>
      </c>
      <c r="C136" s="158"/>
      <c r="D136" s="243"/>
      <c r="E136" s="94"/>
    </row>
    <row r="137" spans="1:5" ht="12" customHeight="1">
      <c r="A137" s="187" t="s">
        <v>113</v>
      </c>
      <c r="B137" s="7" t="s">
        <v>398</v>
      </c>
      <c r="C137" s="158"/>
      <c r="D137" s="243"/>
      <c r="E137" s="94"/>
    </row>
    <row r="138" spans="1:5" ht="12" customHeight="1">
      <c r="A138" s="187" t="s">
        <v>114</v>
      </c>
      <c r="B138" s="7" t="s">
        <v>351</v>
      </c>
      <c r="C138" s="158"/>
      <c r="D138" s="243"/>
      <c r="E138" s="94"/>
    </row>
    <row r="139" spans="1:5" s="53" customFormat="1" ht="12" customHeight="1" thickBot="1">
      <c r="A139" s="196" t="s">
        <v>115</v>
      </c>
      <c r="B139" s="5" t="s">
        <v>352</v>
      </c>
      <c r="C139" s="158"/>
      <c r="D139" s="243"/>
      <c r="E139" s="94"/>
    </row>
    <row r="140" spans="1:11" ht="12" customHeight="1" thickBot="1">
      <c r="A140" s="25" t="s">
        <v>11</v>
      </c>
      <c r="B140" s="57" t="s">
        <v>413</v>
      </c>
      <c r="C140" s="163">
        <f>+C141+C142+C144+C145+C143</f>
        <v>0</v>
      </c>
      <c r="D140" s="245">
        <f>+D141+D142+D144+D145+D143</f>
        <v>0</v>
      </c>
      <c r="E140" s="199">
        <f>+E141+E142+E144+E145+E143</f>
        <v>0</v>
      </c>
      <c r="K140" s="92"/>
    </row>
    <row r="141" spans="1:5" ht="12.75">
      <c r="A141" s="187" t="s">
        <v>60</v>
      </c>
      <c r="B141" s="7" t="s">
        <v>274</v>
      </c>
      <c r="C141" s="158"/>
      <c r="D141" s="243"/>
      <c r="E141" s="94"/>
    </row>
    <row r="142" spans="1:5" ht="12" customHeight="1">
      <c r="A142" s="187" t="s">
        <v>61</v>
      </c>
      <c r="B142" s="7" t="s">
        <v>275</v>
      </c>
      <c r="C142" s="158"/>
      <c r="D142" s="243"/>
      <c r="E142" s="94"/>
    </row>
    <row r="143" spans="1:5" ht="12" customHeight="1">
      <c r="A143" s="187" t="s">
        <v>191</v>
      </c>
      <c r="B143" s="7" t="s">
        <v>412</v>
      </c>
      <c r="C143" s="158"/>
      <c r="D143" s="243"/>
      <c r="E143" s="94"/>
    </row>
    <row r="144" spans="1:5" s="53" customFormat="1" ht="12" customHeight="1">
      <c r="A144" s="187" t="s">
        <v>192</v>
      </c>
      <c r="B144" s="7" t="s">
        <v>361</v>
      </c>
      <c r="C144" s="158"/>
      <c r="D144" s="243"/>
      <c r="E144" s="94"/>
    </row>
    <row r="145" spans="1:5" s="53" customFormat="1" ht="12" customHeight="1" thickBot="1">
      <c r="A145" s="196" t="s">
        <v>193</v>
      </c>
      <c r="B145" s="5" t="s">
        <v>291</v>
      </c>
      <c r="C145" s="158"/>
      <c r="D145" s="243"/>
      <c r="E145" s="94"/>
    </row>
    <row r="146" spans="1:5" s="53" customFormat="1" ht="12" customHeight="1" thickBot="1">
      <c r="A146" s="25" t="s">
        <v>12</v>
      </c>
      <c r="B146" s="57" t="s">
        <v>362</v>
      </c>
      <c r="C146" s="234">
        <f>+C147+C148+C149+C150+C151</f>
        <v>0</v>
      </c>
      <c r="D146" s="246">
        <f>+D147+D148+D149+D150+D151</f>
        <v>0</v>
      </c>
      <c r="E146" s="228">
        <f>+E147+E148+E149+E150+E151</f>
        <v>0</v>
      </c>
    </row>
    <row r="147" spans="1:5" s="53" customFormat="1" ht="12" customHeight="1">
      <c r="A147" s="187" t="s">
        <v>62</v>
      </c>
      <c r="B147" s="7" t="s">
        <v>357</v>
      </c>
      <c r="C147" s="158"/>
      <c r="D147" s="243"/>
      <c r="E147" s="94"/>
    </row>
    <row r="148" spans="1:5" s="53" customFormat="1" ht="12" customHeight="1">
      <c r="A148" s="187" t="s">
        <v>63</v>
      </c>
      <c r="B148" s="7" t="s">
        <v>364</v>
      </c>
      <c r="C148" s="158"/>
      <c r="D148" s="243"/>
      <c r="E148" s="94"/>
    </row>
    <row r="149" spans="1:5" s="53" customFormat="1" ht="12" customHeight="1">
      <c r="A149" s="187" t="s">
        <v>203</v>
      </c>
      <c r="B149" s="7" t="s">
        <v>359</v>
      </c>
      <c r="C149" s="158"/>
      <c r="D149" s="243"/>
      <c r="E149" s="94"/>
    </row>
    <row r="150" spans="1:5" s="53" customFormat="1" ht="12" customHeight="1">
      <c r="A150" s="187" t="s">
        <v>204</v>
      </c>
      <c r="B150" s="7" t="s">
        <v>401</v>
      </c>
      <c r="C150" s="158"/>
      <c r="D150" s="243"/>
      <c r="E150" s="94"/>
    </row>
    <row r="151" spans="1:5" ht="12.75" customHeight="1" thickBot="1">
      <c r="A151" s="196" t="s">
        <v>363</v>
      </c>
      <c r="B151" s="5" t="s">
        <v>366</v>
      </c>
      <c r="C151" s="160"/>
      <c r="D151" s="244"/>
      <c r="E151" s="96"/>
    </row>
    <row r="152" spans="1:5" ht="12.75" customHeight="1" thickBot="1">
      <c r="A152" s="223" t="s">
        <v>13</v>
      </c>
      <c r="B152" s="57" t="s">
        <v>367</v>
      </c>
      <c r="C152" s="234"/>
      <c r="D152" s="246"/>
      <c r="E152" s="228"/>
    </row>
    <row r="153" spans="1:5" ht="12.75" customHeight="1" thickBot="1">
      <c r="A153" s="223" t="s">
        <v>14</v>
      </c>
      <c r="B153" s="57" t="s">
        <v>368</v>
      </c>
      <c r="C153" s="234"/>
      <c r="D153" s="246"/>
      <c r="E153" s="228"/>
    </row>
    <row r="154" spans="1:5" ht="12" customHeight="1" thickBot="1">
      <c r="A154" s="25" t="s">
        <v>15</v>
      </c>
      <c r="B154" s="57" t="s">
        <v>370</v>
      </c>
      <c r="C154" s="236">
        <f>+C129+C133+C140+C146+C152+C153</f>
        <v>0</v>
      </c>
      <c r="D154" s="248">
        <f>+D129+D133+D140+D146+D152+D153</f>
        <v>0</v>
      </c>
      <c r="E154" s="230">
        <f>+E129+E133+E140+E146+E152+E153</f>
        <v>0</v>
      </c>
    </row>
    <row r="155" spans="1:5" ht="15" customHeight="1" thickBot="1">
      <c r="A155" s="198" t="s">
        <v>16</v>
      </c>
      <c r="B155" s="144" t="s">
        <v>369</v>
      </c>
      <c r="C155" s="236">
        <f>+C128+C154</f>
        <v>0</v>
      </c>
      <c r="D155" s="248">
        <f>+D128+D154</f>
        <v>0</v>
      </c>
      <c r="E155" s="230">
        <f>+E128+E154</f>
        <v>0</v>
      </c>
    </row>
    <row r="156" spans="1:5" ht="13.5" thickBot="1">
      <c r="A156" s="147"/>
      <c r="B156" s="148"/>
      <c r="C156" s="602">
        <f>C90-C155</f>
        <v>0</v>
      </c>
      <c r="D156" s="602">
        <f>D90-D155</f>
        <v>0</v>
      </c>
      <c r="E156" s="149"/>
    </row>
    <row r="157" spans="1:5" ht="15" customHeight="1" thickBot="1">
      <c r="A157" s="318" t="s">
        <v>490</v>
      </c>
      <c r="B157" s="319"/>
      <c r="C157" s="307"/>
      <c r="D157" s="307"/>
      <c r="E157" s="306"/>
    </row>
    <row r="158" spans="1:5" ht="14.25" customHeight="1" thickBot="1">
      <c r="A158" s="320" t="s">
        <v>491</v>
      </c>
      <c r="B158" s="321"/>
      <c r="C158" s="307"/>
      <c r="D158" s="307"/>
      <c r="E158" s="306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30" zoomScaleNormal="130" workbookViewId="0" topLeftCell="A25">
      <selection activeCell="C40" sqref="C40"/>
    </sheetView>
  </sheetViews>
  <sheetFormatPr defaultColWidth="9.375" defaultRowHeight="12.75"/>
  <cols>
    <col min="1" max="1" width="13.75390625" style="88" customWidth="1"/>
    <col min="2" max="2" width="54.50390625" style="89" customWidth="1"/>
    <col min="3" max="5" width="15.75390625" style="89" customWidth="1"/>
    <col min="6" max="16384" width="9.375" style="89" customWidth="1"/>
  </cols>
  <sheetData>
    <row r="1" spans="1:5" s="79" customFormat="1" ht="15.75" thickBot="1">
      <c r="A1" s="374"/>
      <c r="B1" s="803" t="str">
        <f>Z_ALAPADATOK!H7</f>
        <v>önkormányzati rendelethez</v>
      </c>
      <c r="C1" s="804"/>
      <c r="D1" s="804"/>
      <c r="E1" s="804"/>
    </row>
    <row r="2" spans="1:5" s="205" customFormat="1" ht="25.5" customHeight="1" thickBot="1">
      <c r="A2" s="375" t="s">
        <v>457</v>
      </c>
      <c r="B2" s="805" t="str">
        <f>Z_ALAPADATOK!A11</f>
        <v>Balatonvilágos Község Önkormányzat Gazdasági Ellátó és Vagyongazdálkodó Szervezete</v>
      </c>
      <c r="C2" s="806"/>
      <c r="D2" s="807"/>
      <c r="E2" s="376" t="s">
        <v>44</v>
      </c>
    </row>
    <row r="3" spans="1:5" s="205" customFormat="1" ht="23.25" thickBot="1">
      <c r="A3" s="375" t="s">
        <v>134</v>
      </c>
      <c r="B3" s="808" t="s">
        <v>299</v>
      </c>
      <c r="C3" s="809"/>
      <c r="D3" s="810"/>
      <c r="E3" s="376" t="s">
        <v>39</v>
      </c>
    </row>
    <row r="4" spans="1:5" s="206" customFormat="1" ht="15.75" customHeight="1" thickBot="1">
      <c r="A4" s="377"/>
      <c r="B4" s="377"/>
      <c r="C4" s="378"/>
      <c r="D4" s="379"/>
      <c r="E4" s="378" t="str">
        <f>'[1]Z_6.2.3.sz.mell'!E4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42516411</v>
      </c>
      <c r="D8" s="110">
        <f>SUM(D9:D19)</f>
        <v>42516411</v>
      </c>
      <c r="E8" s="112">
        <f>SUM(E9:E19)</f>
        <v>33893396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>
        <v>99000</v>
      </c>
    </row>
    <row r="10" spans="1:5" s="143" customFormat="1" ht="12" customHeight="1">
      <c r="A10" s="201" t="s">
        <v>65</v>
      </c>
      <c r="B10" s="6" t="s">
        <v>181</v>
      </c>
      <c r="C10" s="107">
        <v>21079231</v>
      </c>
      <c r="D10" s="250">
        <v>21079231</v>
      </c>
      <c r="E10" s="255">
        <v>17774894</v>
      </c>
    </row>
    <row r="11" spans="1:5" s="143" customFormat="1" ht="12" customHeight="1">
      <c r="A11" s="201" t="s">
        <v>66</v>
      </c>
      <c r="B11" s="6" t="s">
        <v>182</v>
      </c>
      <c r="C11" s="107">
        <v>3600000</v>
      </c>
      <c r="D11" s="250">
        <v>3600000</v>
      </c>
      <c r="E11" s="255">
        <v>3822023</v>
      </c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>
        <v>10945800</v>
      </c>
      <c r="D13" s="250">
        <v>10945800</v>
      </c>
      <c r="E13" s="255">
        <v>6265586</v>
      </c>
    </row>
    <row r="14" spans="1:5" s="143" customFormat="1" ht="12" customHeight="1">
      <c r="A14" s="201" t="s">
        <v>68</v>
      </c>
      <c r="B14" s="6" t="s">
        <v>300</v>
      </c>
      <c r="C14" s="107">
        <v>6891380</v>
      </c>
      <c r="D14" s="250">
        <v>6891380</v>
      </c>
      <c r="E14" s="255">
        <v>5648190</v>
      </c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>
        <v>8</v>
      </c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>
        <v>283695</v>
      </c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1</v>
      </c>
      <c r="D20" s="252">
        <f>SUM(D21:D23)</f>
        <v>1</v>
      </c>
      <c r="E20" s="138">
        <f>SUM(E21:E23)</f>
        <v>525224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>
        <v>1</v>
      </c>
      <c r="D23" s="250">
        <v>1</v>
      </c>
      <c r="E23" s="255">
        <v>525224</v>
      </c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33858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>
        <v>33858</v>
      </c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42516412</v>
      </c>
      <c r="D36" s="252">
        <f>+D8+D20+D25+D26+D30+D34+D35</f>
        <v>42516412</v>
      </c>
      <c r="E36" s="138">
        <f>+E8+E20+E25+E26+E30+E34+E35</f>
        <v>34452478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266807549</v>
      </c>
      <c r="D37" s="252">
        <f>+D38+D39+D40</f>
        <v>277084311</v>
      </c>
      <c r="E37" s="138">
        <f>+E38+E39+E40</f>
        <v>227517067</v>
      </c>
    </row>
    <row r="38" spans="1:5" s="143" customFormat="1" ht="12" customHeight="1">
      <c r="A38" s="202" t="s">
        <v>311</v>
      </c>
      <c r="B38" s="203" t="s">
        <v>145</v>
      </c>
      <c r="C38" s="262">
        <v>924655</v>
      </c>
      <c r="D38" s="59">
        <v>924655</v>
      </c>
      <c r="E38" s="260">
        <v>924655</v>
      </c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>
        <v>265882894</v>
      </c>
      <c r="D40" s="316">
        <v>276159656</v>
      </c>
      <c r="E40" s="311">
        <v>226592412</v>
      </c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309323961</v>
      </c>
      <c r="D41" s="309">
        <f>+D36+D37</f>
        <v>319600723</v>
      </c>
      <c r="E41" s="141">
        <f>+E36+E37</f>
        <v>261969545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245323191</v>
      </c>
      <c r="D45" s="252">
        <f>SUM(D46:D50)</f>
        <v>253473058</v>
      </c>
      <c r="E45" s="138">
        <f>SUM(E46:E50)</f>
        <v>210333409</v>
      </c>
    </row>
    <row r="46" spans="1:5" ht="12" customHeight="1">
      <c r="A46" s="201" t="s">
        <v>64</v>
      </c>
      <c r="B46" s="7" t="s">
        <v>35</v>
      </c>
      <c r="C46" s="262">
        <v>93050681</v>
      </c>
      <c r="D46" s="59">
        <v>95465795</v>
      </c>
      <c r="E46" s="260">
        <v>85847470</v>
      </c>
    </row>
    <row r="47" spans="1:5" ht="12" customHeight="1">
      <c r="A47" s="201" t="s">
        <v>65</v>
      </c>
      <c r="B47" s="6" t="s">
        <v>121</v>
      </c>
      <c r="C47" s="47">
        <v>21619096</v>
      </c>
      <c r="D47" s="60">
        <v>22254972</v>
      </c>
      <c r="E47" s="258">
        <v>16648105</v>
      </c>
    </row>
    <row r="48" spans="1:5" ht="12" customHeight="1">
      <c r="A48" s="201" t="s">
        <v>66</v>
      </c>
      <c r="B48" s="6" t="s">
        <v>92</v>
      </c>
      <c r="C48" s="47">
        <v>130653414</v>
      </c>
      <c r="D48" s="60">
        <v>135368011</v>
      </c>
      <c r="E48" s="258">
        <v>107455364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>
        <v>384280</v>
      </c>
      <c r="E50" s="258">
        <v>382470</v>
      </c>
    </row>
    <row r="51" spans="1:5" ht="12" customHeight="1" thickBot="1">
      <c r="A51" s="75" t="s">
        <v>7</v>
      </c>
      <c r="B51" s="57" t="s">
        <v>317</v>
      </c>
      <c r="C51" s="110">
        <f>SUM(C52:C54)</f>
        <v>64000770</v>
      </c>
      <c r="D51" s="252">
        <f>SUM(D52:D54)</f>
        <v>66127665</v>
      </c>
      <c r="E51" s="138">
        <f>SUM(E52:E54)</f>
        <v>50726245</v>
      </c>
    </row>
    <row r="52" spans="1:5" s="209" customFormat="1" ht="12" customHeight="1">
      <c r="A52" s="201" t="s">
        <v>70</v>
      </c>
      <c r="B52" s="7" t="s">
        <v>138</v>
      </c>
      <c r="C52" s="262">
        <v>24138670</v>
      </c>
      <c r="D52" s="59">
        <v>21722637</v>
      </c>
      <c r="E52" s="260">
        <v>13721378</v>
      </c>
    </row>
    <row r="53" spans="1:5" ht="12" customHeight="1">
      <c r="A53" s="201" t="s">
        <v>71</v>
      </c>
      <c r="B53" s="6" t="s">
        <v>125</v>
      </c>
      <c r="C53" s="47">
        <v>39862100</v>
      </c>
      <c r="D53" s="60">
        <v>44405028</v>
      </c>
      <c r="E53" s="258">
        <v>37004867</v>
      </c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309323961</v>
      </c>
      <c r="D57" s="309">
        <f>+D45+D51+D56</f>
        <v>319600723</v>
      </c>
      <c r="E57" s="141">
        <f>+E45+E51+E56</f>
        <v>261059654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>
        <v>31</v>
      </c>
      <c r="D59" s="307">
        <v>31</v>
      </c>
      <c r="E59" s="306">
        <v>29</v>
      </c>
    </row>
    <row r="60" spans="1:5" ht="13.5" thickBot="1">
      <c r="A60" s="320" t="s">
        <v>491</v>
      </c>
      <c r="B60" s="321"/>
      <c r="C60" s="307">
        <v>0</v>
      </c>
      <c r="D60" s="307">
        <v>0</v>
      </c>
      <c r="E60" s="306">
        <v>0</v>
      </c>
    </row>
  </sheetData>
  <sheetProtection formatCells="0"/>
  <mergeCells count="5">
    <mergeCell ref="B2:D2"/>
    <mergeCell ref="B3:D3"/>
    <mergeCell ref="A7:E7"/>
    <mergeCell ref="B1:E1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52">
      <selection activeCell="F40" sqref="F40"/>
    </sheetView>
  </sheetViews>
  <sheetFormatPr defaultColWidth="9.375" defaultRowHeight="12.75"/>
  <cols>
    <col min="1" max="1" width="13.75390625" style="88" customWidth="1"/>
    <col min="2" max="2" width="54.50390625" style="89" customWidth="1"/>
    <col min="3" max="5" width="15.75390625" style="89" customWidth="1"/>
    <col min="6" max="16384" width="9.375" style="89" customWidth="1"/>
  </cols>
  <sheetData>
    <row r="1" spans="1:5" s="79" customFormat="1" ht="15.75" thickBot="1">
      <c r="A1" s="374"/>
      <c r="B1" s="811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12"/>
      <c r="D1" s="812"/>
      <c r="E1" s="812"/>
    </row>
    <row r="2" spans="1:5" s="205" customFormat="1" ht="25.5" customHeight="1" thickBot="1">
      <c r="A2" s="375" t="s">
        <v>457</v>
      </c>
      <c r="B2" s="808" t="str">
        <f>CONCATENATE('Z_6.1.2.sz.mell'!E5)</f>
        <v>Teljesítés
2019. XII. 31.</v>
      </c>
      <c r="C2" s="809"/>
      <c r="D2" s="810"/>
      <c r="E2" s="376" t="s">
        <v>44</v>
      </c>
    </row>
    <row r="3" spans="1:5" s="205" customFormat="1" ht="23.25" thickBot="1">
      <c r="A3" s="375" t="s">
        <v>134</v>
      </c>
      <c r="B3" s="808" t="s">
        <v>318</v>
      </c>
      <c r="C3" s="809"/>
      <c r="D3" s="810"/>
      <c r="E3" s="376" t="s">
        <v>43</v>
      </c>
    </row>
    <row r="4" spans="1:5" s="206" customFormat="1" ht="15.75" customHeight="1" thickBot="1">
      <c r="A4" s="377"/>
      <c r="B4" s="377"/>
      <c r="C4" s="378"/>
      <c r="D4" s="379"/>
      <c r="E4" s="378" t="str">
        <f>'[1]Z_6.3.sz.mell'!E4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28512046</v>
      </c>
      <c r="D8" s="110">
        <f>SUM(D9:D19)</f>
        <v>28512046</v>
      </c>
      <c r="E8" s="112">
        <f>SUM(E9:E19)</f>
        <v>20047383</v>
      </c>
    </row>
    <row r="9" spans="1:5" s="143" customFormat="1" ht="12" customHeight="1">
      <c r="A9" s="200" t="s">
        <v>64</v>
      </c>
      <c r="B9" s="8" t="s">
        <v>180</v>
      </c>
      <c r="C9" s="263">
        <v>11639422</v>
      </c>
      <c r="D9" s="263">
        <v>11639422</v>
      </c>
      <c r="E9" s="310">
        <v>99000</v>
      </c>
    </row>
    <row r="10" spans="1:5" s="143" customFormat="1" ht="12" customHeight="1">
      <c r="A10" s="201" t="s">
        <v>65</v>
      </c>
      <c r="B10" s="6" t="s">
        <v>181</v>
      </c>
      <c r="C10" s="107">
        <v>0</v>
      </c>
      <c r="D10" s="250">
        <v>0</v>
      </c>
      <c r="E10" s="255">
        <v>8829767</v>
      </c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>
        <v>15512</v>
      </c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>
        <v>10945800</v>
      </c>
      <c r="D13" s="250">
        <v>10945800</v>
      </c>
      <c r="E13" s="255">
        <v>6265586</v>
      </c>
    </row>
    <row r="14" spans="1:5" s="143" customFormat="1" ht="12" customHeight="1">
      <c r="A14" s="201" t="s">
        <v>68</v>
      </c>
      <c r="B14" s="6" t="s">
        <v>300</v>
      </c>
      <c r="C14" s="107">
        <v>5926824</v>
      </c>
      <c r="D14" s="250">
        <v>5926824</v>
      </c>
      <c r="E14" s="255">
        <v>4553815</v>
      </c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>
        <v>8</v>
      </c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>
        <v>283695</v>
      </c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1</v>
      </c>
      <c r="D20" s="252">
        <f>SUM(D21:D23)</f>
        <v>1</v>
      </c>
      <c r="E20" s="138">
        <f>SUM(E21:E23)</f>
        <v>525224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>
        <v>1</v>
      </c>
      <c r="D23" s="250">
        <v>1</v>
      </c>
      <c r="E23" s="255">
        <v>525224</v>
      </c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33858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>
        <v>33858</v>
      </c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28512047</v>
      </c>
      <c r="D36" s="252">
        <f>+D8+D20+D25+D26+D30+D34+D35</f>
        <v>28512047</v>
      </c>
      <c r="E36" s="138">
        <f>+E8+E20+E25+E26+E30+E34+E35</f>
        <v>20606465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266807549</v>
      </c>
      <c r="D37" s="252">
        <f>+D38+D39+D40</f>
        <v>277084311</v>
      </c>
      <c r="E37" s="138">
        <f>+E38+E39+E40</f>
        <v>227517067</v>
      </c>
    </row>
    <row r="38" spans="1:5" s="143" customFormat="1" ht="12" customHeight="1">
      <c r="A38" s="202" t="s">
        <v>311</v>
      </c>
      <c r="B38" s="203" t="s">
        <v>145</v>
      </c>
      <c r="C38" s="262">
        <v>924655</v>
      </c>
      <c r="D38" s="59">
        <v>924655</v>
      </c>
      <c r="E38" s="260">
        <v>924655</v>
      </c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>
        <v>265882894</v>
      </c>
      <c r="D40" s="316">
        <v>276159656</v>
      </c>
      <c r="E40" s="311">
        <v>226592412</v>
      </c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295319596</v>
      </c>
      <c r="D41" s="309">
        <f>+D36+D37</f>
        <v>305596358</v>
      </c>
      <c r="E41" s="141">
        <f>+E36+E37</f>
        <v>248123532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229803862</v>
      </c>
      <c r="D45" s="252">
        <f>SUM(D46:D50)</f>
        <v>235052089</v>
      </c>
      <c r="E45" s="138">
        <f>SUM(E46:E50)</f>
        <v>198195204</v>
      </c>
    </row>
    <row r="46" spans="1:5" ht="12" customHeight="1">
      <c r="A46" s="201" t="s">
        <v>64</v>
      </c>
      <c r="B46" s="7" t="s">
        <v>35</v>
      </c>
      <c r="C46" s="262">
        <v>89385681</v>
      </c>
      <c r="D46" s="59">
        <v>91047572</v>
      </c>
      <c r="E46" s="260">
        <v>84669408</v>
      </c>
    </row>
    <row r="47" spans="1:5" ht="12" customHeight="1">
      <c r="A47" s="201" t="s">
        <v>65</v>
      </c>
      <c r="B47" s="6" t="s">
        <v>121</v>
      </c>
      <c r="C47" s="47">
        <v>20904421</v>
      </c>
      <c r="D47" s="60">
        <v>21209393</v>
      </c>
      <c r="E47" s="258">
        <v>16241224</v>
      </c>
    </row>
    <row r="48" spans="1:5" ht="12" customHeight="1">
      <c r="A48" s="201" t="s">
        <v>66</v>
      </c>
      <c r="B48" s="6" t="s">
        <v>92</v>
      </c>
      <c r="C48" s="47">
        <v>119513760</v>
      </c>
      <c r="D48" s="60">
        <v>122410844</v>
      </c>
      <c r="E48" s="258">
        <v>96902102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>
        <v>384280</v>
      </c>
      <c r="E50" s="258">
        <v>382470</v>
      </c>
    </row>
    <row r="51" spans="1:5" ht="12" customHeight="1" thickBot="1">
      <c r="A51" s="75" t="s">
        <v>7</v>
      </c>
      <c r="B51" s="57" t="s">
        <v>317</v>
      </c>
      <c r="C51" s="110">
        <f>SUM(C52:C54)</f>
        <v>64000770</v>
      </c>
      <c r="D51" s="252">
        <f>SUM(D52:D54)</f>
        <v>66127665</v>
      </c>
      <c r="E51" s="138">
        <f>SUM(E52:E54)</f>
        <v>50726245</v>
      </c>
    </row>
    <row r="52" spans="1:5" s="209" customFormat="1" ht="12" customHeight="1">
      <c r="A52" s="201" t="s">
        <v>70</v>
      </c>
      <c r="B52" s="7" t="s">
        <v>138</v>
      </c>
      <c r="C52" s="262">
        <v>24138670</v>
      </c>
      <c r="D52" s="59">
        <v>21722637</v>
      </c>
      <c r="E52" s="260">
        <v>13721378</v>
      </c>
    </row>
    <row r="53" spans="1:5" ht="12" customHeight="1">
      <c r="A53" s="201" t="s">
        <v>71</v>
      </c>
      <c r="B53" s="6" t="s">
        <v>125</v>
      </c>
      <c r="C53" s="47">
        <v>39862100</v>
      </c>
      <c r="D53" s="60">
        <v>44405028</v>
      </c>
      <c r="E53" s="258">
        <v>37004867</v>
      </c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293804632</v>
      </c>
      <c r="D57" s="309">
        <f>+D45+D51+D56</f>
        <v>301179754</v>
      </c>
      <c r="E57" s="141">
        <f>+E45+E51+E56</f>
        <v>248921449</v>
      </c>
    </row>
    <row r="58" spans="3:4" ht="15" customHeight="1" thickBot="1">
      <c r="C58" s="602">
        <f>C41-C57</f>
        <v>1514964</v>
      </c>
      <c r="D58" s="602">
        <f>D41-D57</f>
        <v>4416604</v>
      </c>
    </row>
    <row r="59" spans="1:5" ht="14.25" customHeight="1" thickBot="1">
      <c r="A59" s="318" t="s">
        <v>490</v>
      </c>
      <c r="B59" s="319"/>
      <c r="C59" s="307">
        <v>31</v>
      </c>
      <c r="D59" s="307">
        <v>31</v>
      </c>
      <c r="E59" s="306">
        <v>29</v>
      </c>
    </row>
    <row r="60" spans="1:5" ht="13.5" thickBot="1">
      <c r="A60" s="320" t="s">
        <v>491</v>
      </c>
      <c r="B60" s="321"/>
      <c r="C60" s="307">
        <v>0</v>
      </c>
      <c r="D60" s="307">
        <v>0</v>
      </c>
      <c r="E60" s="306">
        <v>0</v>
      </c>
    </row>
  </sheetData>
  <sheetProtection formatCells="0"/>
  <mergeCells count="5">
    <mergeCell ref="B2:D2"/>
    <mergeCell ref="B3:D3"/>
    <mergeCell ref="A7:E7"/>
    <mergeCell ref="B1:E1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A11" sqref="A11:G11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7539062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2019</v>
      </c>
      <c r="C1" t="s">
        <v>793</v>
      </c>
    </row>
    <row r="2" spans="1:6" ht="15">
      <c r="A2" s="741" t="s">
        <v>498</v>
      </c>
      <c r="B2" s="741"/>
      <c r="C2" s="741"/>
      <c r="D2" s="741"/>
      <c r="E2" s="741"/>
      <c r="F2" s="741"/>
    </row>
    <row r="3" spans="1:7" ht="15">
      <c r="A3" s="744" t="s">
        <v>803</v>
      </c>
      <c r="B3" s="744"/>
      <c r="C3" s="744"/>
      <c r="D3" s="744"/>
      <c r="E3" s="744"/>
      <c r="F3" s="744"/>
      <c r="G3" s="744"/>
    </row>
    <row r="6" ht="13.5">
      <c r="A6" s="364" t="s">
        <v>776</v>
      </c>
    </row>
    <row r="7" spans="1:8" ht="12.75">
      <c r="A7" s="601" t="s">
        <v>769</v>
      </c>
      <c r="B7" s="638" t="s">
        <v>770</v>
      </c>
      <c r="C7" t="s">
        <v>771</v>
      </c>
      <c r="D7" t="s">
        <v>712</v>
      </c>
      <c r="E7" t="s">
        <v>772</v>
      </c>
      <c r="F7" s="638" t="s">
        <v>770</v>
      </c>
      <c r="G7" t="s">
        <v>773</v>
      </c>
      <c r="H7" t="s">
        <v>774</v>
      </c>
    </row>
    <row r="8" spans="1:6" ht="12.75">
      <c r="A8" s="601"/>
      <c r="B8" s="417"/>
      <c r="F8" s="417"/>
    </row>
    <row r="9" spans="1:6" ht="12.75">
      <c r="A9" s="601"/>
      <c r="B9" s="417"/>
      <c r="F9" s="417"/>
    </row>
    <row r="11" spans="1:7" ht="15">
      <c r="A11" s="742" t="s">
        <v>804</v>
      </c>
      <c r="B11" s="743"/>
      <c r="C11" s="743"/>
      <c r="D11" s="743"/>
      <c r="E11" s="743"/>
      <c r="F11" s="743"/>
      <c r="G11" s="743"/>
    </row>
    <row r="13" spans="1:7" ht="13.5">
      <c r="A13" s="365" t="s">
        <v>499</v>
      </c>
      <c r="B13" s="739" t="s">
        <v>805</v>
      </c>
      <c r="C13" s="740"/>
      <c r="D13" s="740"/>
      <c r="E13" s="740"/>
      <c r="F13" s="740"/>
      <c r="G13" s="740"/>
    </row>
    <row r="14" spans="2:7" ht="13.5">
      <c r="B14" s="639"/>
      <c r="C14" s="586"/>
      <c r="D14" s="586"/>
      <c r="E14" s="586"/>
      <c r="F14" s="586"/>
      <c r="G14" s="586"/>
    </row>
    <row r="15" spans="1:7" ht="13.5">
      <c r="A15" s="365" t="s">
        <v>500</v>
      </c>
      <c r="B15" s="739" t="s">
        <v>501</v>
      </c>
      <c r="C15" s="740"/>
      <c r="D15" s="740"/>
      <c r="E15" s="740"/>
      <c r="F15" s="740"/>
      <c r="G15" s="740"/>
    </row>
    <row r="16" spans="2:7" ht="13.5">
      <c r="B16" s="639"/>
      <c r="C16" s="586"/>
      <c r="D16" s="586"/>
      <c r="E16" s="586"/>
      <c r="F16" s="586"/>
      <c r="G16" s="586"/>
    </row>
    <row r="17" spans="1:7" ht="13.5">
      <c r="A17" s="365" t="s">
        <v>502</v>
      </c>
      <c r="B17" s="739" t="s">
        <v>503</v>
      </c>
      <c r="C17" s="740"/>
      <c r="D17" s="740"/>
      <c r="E17" s="740"/>
      <c r="F17" s="740"/>
      <c r="G17" s="740"/>
    </row>
    <row r="18" spans="2:7" ht="13.5">
      <c r="B18" s="639"/>
      <c r="C18" s="586"/>
      <c r="D18" s="586"/>
      <c r="E18" s="586"/>
      <c r="F18" s="586"/>
      <c r="G18" s="586"/>
    </row>
    <row r="19" spans="1:7" ht="13.5">
      <c r="A19" s="365" t="s">
        <v>504</v>
      </c>
      <c r="B19" s="739" t="s">
        <v>505</v>
      </c>
      <c r="C19" s="740"/>
      <c r="D19" s="740"/>
      <c r="E19" s="740"/>
      <c r="F19" s="740"/>
      <c r="G19" s="740"/>
    </row>
    <row r="20" spans="2:7" ht="13.5">
      <c r="B20" s="639"/>
      <c r="C20" s="586"/>
      <c r="D20" s="586"/>
      <c r="E20" s="586"/>
      <c r="F20" s="586"/>
      <c r="G20" s="586"/>
    </row>
    <row r="21" spans="1:7" ht="13.5">
      <c r="A21" s="365" t="s">
        <v>506</v>
      </c>
      <c r="B21" s="739" t="s">
        <v>507</v>
      </c>
      <c r="C21" s="740"/>
      <c r="D21" s="740"/>
      <c r="E21" s="740"/>
      <c r="F21" s="740"/>
      <c r="G21" s="740"/>
    </row>
    <row r="22" spans="2:7" ht="13.5">
      <c r="B22" s="639"/>
      <c r="C22" s="586"/>
      <c r="D22" s="586"/>
      <c r="E22" s="586"/>
      <c r="F22" s="586"/>
      <c r="G22" s="586"/>
    </row>
    <row r="23" spans="1:7" ht="13.5">
      <c r="A23" s="365" t="s">
        <v>508</v>
      </c>
      <c r="B23" s="739" t="s">
        <v>509</v>
      </c>
      <c r="C23" s="740"/>
      <c r="D23" s="740"/>
      <c r="E23" s="740"/>
      <c r="F23" s="740"/>
      <c r="G23" s="740"/>
    </row>
    <row r="24" spans="2:7" ht="13.5">
      <c r="B24" s="639"/>
      <c r="C24" s="586"/>
      <c r="D24" s="586"/>
      <c r="E24" s="586"/>
      <c r="F24" s="586"/>
      <c r="G24" s="586"/>
    </row>
    <row r="25" spans="1:7" ht="13.5">
      <c r="A25" s="365" t="s">
        <v>510</v>
      </c>
      <c r="B25" s="739" t="s">
        <v>511</v>
      </c>
      <c r="C25" s="740"/>
      <c r="D25" s="740"/>
      <c r="E25" s="740"/>
      <c r="F25" s="740"/>
      <c r="G25" s="740"/>
    </row>
    <row r="26" spans="2:7" ht="13.5">
      <c r="B26" s="639"/>
      <c r="C26" s="586"/>
      <c r="D26" s="586"/>
      <c r="E26" s="586"/>
      <c r="F26" s="586"/>
      <c r="G26" s="586"/>
    </row>
    <row r="27" spans="1:7" ht="13.5">
      <c r="A27" s="365" t="s">
        <v>512</v>
      </c>
      <c r="B27" s="739" t="s">
        <v>513</v>
      </c>
      <c r="C27" s="740"/>
      <c r="D27" s="740"/>
      <c r="E27" s="740"/>
      <c r="F27" s="740"/>
      <c r="G27" s="740"/>
    </row>
    <row r="28" spans="2:7" ht="13.5">
      <c r="B28" s="639"/>
      <c r="C28" s="586"/>
      <c r="D28" s="586"/>
      <c r="E28" s="586"/>
      <c r="F28" s="586"/>
      <c r="G28" s="586"/>
    </row>
    <row r="29" spans="1:7" ht="13.5">
      <c r="A29" s="365" t="s">
        <v>512</v>
      </c>
      <c r="B29" s="739" t="s">
        <v>514</v>
      </c>
      <c r="C29" s="740"/>
      <c r="D29" s="740"/>
      <c r="E29" s="740"/>
      <c r="F29" s="740"/>
      <c r="G29" s="740"/>
    </row>
    <row r="30" spans="2:7" ht="13.5">
      <c r="B30" s="639"/>
      <c r="C30" s="586"/>
      <c r="D30" s="586"/>
      <c r="E30" s="586"/>
      <c r="F30" s="586"/>
      <c r="G30" s="586"/>
    </row>
    <row r="31" spans="1:7" ht="13.5">
      <c r="A31" s="365" t="s">
        <v>515</v>
      </c>
      <c r="B31" s="739" t="s">
        <v>516</v>
      </c>
      <c r="C31" s="740"/>
      <c r="D31" s="740"/>
      <c r="E31" s="740"/>
      <c r="F31" s="740"/>
      <c r="G31" s="740"/>
    </row>
  </sheetData>
  <sheetProtection/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4">
      <selection activeCell="C41" sqref="C41"/>
    </sheetView>
  </sheetViews>
  <sheetFormatPr defaultColWidth="9.375" defaultRowHeight="12.75"/>
  <cols>
    <col min="1" max="1" width="13.75390625" style="88" customWidth="1"/>
    <col min="2" max="2" width="54.50390625" style="89" customWidth="1"/>
    <col min="3" max="5" width="15.75390625" style="89" customWidth="1"/>
    <col min="6" max="16384" width="9.375" style="89" customWidth="1"/>
  </cols>
  <sheetData>
    <row r="1" spans="1:5" s="79" customFormat="1" ht="15.75" thickBot="1">
      <c r="A1" s="374"/>
      <c r="B1" s="811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12"/>
      <c r="D1" s="812"/>
      <c r="E1" s="812"/>
    </row>
    <row r="2" spans="1:5" s="205" customFormat="1" ht="25.5" customHeight="1" thickBot="1">
      <c r="A2" s="375" t="s">
        <v>457</v>
      </c>
      <c r="B2" s="808" t="str">
        <f>CONCATENATE('[1]Z_6.3.1.sz.mell'!B2:D2)</f>
        <v>1 kvi név</v>
      </c>
      <c r="C2" s="809"/>
      <c r="D2" s="810"/>
      <c r="E2" s="376" t="s">
        <v>44</v>
      </c>
    </row>
    <row r="3" spans="1:5" s="205" customFormat="1" ht="23.25" thickBot="1">
      <c r="A3" s="375" t="s">
        <v>134</v>
      </c>
      <c r="B3" s="808" t="s">
        <v>319</v>
      </c>
      <c r="C3" s="809"/>
      <c r="D3" s="810"/>
      <c r="E3" s="376" t="s">
        <v>44</v>
      </c>
    </row>
    <row r="4" spans="1:5" s="206" customFormat="1" ht="15.75" customHeight="1" thickBot="1">
      <c r="A4" s="377"/>
      <c r="B4" s="377"/>
      <c r="C4" s="378"/>
      <c r="D4" s="379"/>
      <c r="E4" s="378" t="str">
        <f>'[1]Z_6.3.1.sz.mell'!E4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14004365</v>
      </c>
      <c r="D8" s="110">
        <f>SUM(D9:D19)</f>
        <v>14004365</v>
      </c>
      <c r="E8" s="112">
        <f>SUM(E9:E19)</f>
        <v>13846013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>
        <v>9439809</v>
      </c>
      <c r="D10" s="250">
        <v>9439809</v>
      </c>
      <c r="E10" s="255">
        <v>8945127</v>
      </c>
    </row>
    <row r="11" spans="1:5" s="143" customFormat="1" ht="12" customHeight="1">
      <c r="A11" s="201" t="s">
        <v>66</v>
      </c>
      <c r="B11" s="6" t="s">
        <v>182</v>
      </c>
      <c r="C11" s="107">
        <v>3600000</v>
      </c>
      <c r="D11" s="250">
        <v>3600000</v>
      </c>
      <c r="E11" s="255">
        <v>3806511</v>
      </c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>
        <v>964556</v>
      </c>
      <c r="D14" s="250">
        <v>964556</v>
      </c>
      <c r="E14" s="255">
        <v>1094375</v>
      </c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/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/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14004365</v>
      </c>
      <c r="D36" s="252">
        <f>+D8+D20+D25+D26+D30+D34+D35</f>
        <v>14004365</v>
      </c>
      <c r="E36" s="138">
        <f>+E8+E20+E25+E26+E30+E34+E35</f>
        <v>13846013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0</v>
      </c>
      <c r="D37" s="252">
        <f>+D38+D39+D40</f>
        <v>0</v>
      </c>
      <c r="E37" s="138">
        <f>+E38+E39+E40</f>
        <v>0</v>
      </c>
    </row>
    <row r="38" spans="1:5" s="143" customFormat="1" ht="12" customHeight="1">
      <c r="A38" s="202" t="s">
        <v>311</v>
      </c>
      <c r="B38" s="203" t="s">
        <v>145</v>
      </c>
      <c r="C38" s="262"/>
      <c r="D38" s="59"/>
      <c r="E38" s="260"/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/>
      <c r="D40" s="316"/>
      <c r="E40" s="311"/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14004365</v>
      </c>
      <c r="D41" s="309">
        <f>+D36+D37</f>
        <v>14004365</v>
      </c>
      <c r="E41" s="141">
        <f>+E36+E37</f>
        <v>13846013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15519329</v>
      </c>
      <c r="D45" s="252">
        <f>SUM(D46:D50)</f>
        <v>18420969</v>
      </c>
      <c r="E45" s="138">
        <f>SUM(E46:E50)</f>
        <v>12138205</v>
      </c>
    </row>
    <row r="46" spans="1:5" ht="12" customHeight="1">
      <c r="A46" s="201" t="s">
        <v>64</v>
      </c>
      <c r="B46" s="7" t="s">
        <v>35</v>
      </c>
      <c r="C46" s="262">
        <v>3665000</v>
      </c>
      <c r="D46" s="59">
        <v>4418223</v>
      </c>
      <c r="E46" s="260">
        <v>1178062</v>
      </c>
    </row>
    <row r="47" spans="1:5" ht="12" customHeight="1">
      <c r="A47" s="201" t="s">
        <v>65</v>
      </c>
      <c r="B47" s="6" t="s">
        <v>121</v>
      </c>
      <c r="C47" s="47">
        <v>714675</v>
      </c>
      <c r="D47" s="60">
        <v>1045579</v>
      </c>
      <c r="E47" s="258">
        <v>406881</v>
      </c>
    </row>
    <row r="48" spans="1:5" ht="12" customHeight="1">
      <c r="A48" s="201" t="s">
        <v>66</v>
      </c>
      <c r="B48" s="6" t="s">
        <v>92</v>
      </c>
      <c r="C48" s="47">
        <v>11139654</v>
      </c>
      <c r="D48" s="60">
        <v>12957167</v>
      </c>
      <c r="E48" s="258">
        <v>10553262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0</v>
      </c>
      <c r="D51" s="252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138</v>
      </c>
      <c r="C52" s="262"/>
      <c r="D52" s="59"/>
      <c r="E52" s="260"/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15519329</v>
      </c>
      <c r="D57" s="309">
        <f>+D45+D51+D56</f>
        <v>18420969</v>
      </c>
      <c r="E57" s="141">
        <f>+E45+E51+E56</f>
        <v>12138205</v>
      </c>
    </row>
    <row r="58" spans="3:4" ht="15" customHeight="1" thickBot="1">
      <c r="C58" s="602">
        <f>C41-C57</f>
        <v>-1514964</v>
      </c>
      <c r="D58" s="602">
        <f>D41-D57</f>
        <v>-4416604</v>
      </c>
    </row>
    <row r="59" spans="1:5" ht="14.25" customHeight="1" thickBot="1">
      <c r="A59" s="318" t="s">
        <v>490</v>
      </c>
      <c r="B59" s="319"/>
      <c r="C59" s="307"/>
      <c r="D59" s="307"/>
      <c r="E59" s="306"/>
    </row>
    <row r="60" spans="1:5" ht="13.5" thickBot="1">
      <c r="A60" s="320" t="s">
        <v>491</v>
      </c>
      <c r="B60" s="321"/>
      <c r="C60" s="307"/>
      <c r="D60" s="307"/>
      <c r="E60" s="306"/>
    </row>
  </sheetData>
  <sheetProtection formatCells="0"/>
  <mergeCells count="5">
    <mergeCell ref="B2:D2"/>
    <mergeCell ref="B3:D3"/>
    <mergeCell ref="A7:E7"/>
    <mergeCell ref="B1:E1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9">
      <selection activeCell="E6" sqref="E6"/>
    </sheetView>
  </sheetViews>
  <sheetFormatPr defaultColWidth="9.375" defaultRowHeight="12.75"/>
  <cols>
    <col min="1" max="1" width="13.00390625" style="88" customWidth="1"/>
    <col min="2" max="2" width="59.00390625" style="89" customWidth="1"/>
    <col min="3" max="5" width="15.75390625" style="89" customWidth="1"/>
    <col min="6" max="16384" width="9.375" style="89" customWidth="1"/>
  </cols>
  <sheetData>
    <row r="1" spans="1:5" s="79" customFormat="1" ht="21" customHeight="1" thickBot="1">
      <c r="A1" s="374"/>
      <c r="B1" s="811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12"/>
      <c r="D1" s="812"/>
      <c r="E1" s="812"/>
    </row>
    <row r="2" spans="1:5" s="205" customFormat="1" ht="23.25" thickBot="1">
      <c r="A2" s="375" t="s">
        <v>457</v>
      </c>
      <c r="B2" s="805" t="str">
        <f>CONCATENATE('Z_6.2.2.sz.mell'!B2:D2)</f>
        <v>1 kvi név</v>
      </c>
      <c r="C2" s="806"/>
      <c r="D2" s="807"/>
      <c r="E2" s="376" t="s">
        <v>43</v>
      </c>
    </row>
    <row r="3" spans="1:5" s="205" customFormat="1" ht="23.25" thickBot="1">
      <c r="A3" s="375" t="s">
        <v>134</v>
      </c>
      <c r="B3" s="808" t="s">
        <v>411</v>
      </c>
      <c r="C3" s="809"/>
      <c r="D3" s="810"/>
      <c r="E3" s="376" t="s">
        <v>328</v>
      </c>
    </row>
    <row r="4" spans="1:5" s="206" customFormat="1" ht="15.75" customHeight="1" thickBot="1">
      <c r="A4" s="377"/>
      <c r="B4" s="377"/>
      <c r="C4" s="378"/>
      <c r="D4" s="379"/>
      <c r="E4" s="378" t="str">
        <f>'Z_6.2.2.sz.mell'!E4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CONCATENATE('Z_6.2.2.sz.mell'!E5)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107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107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107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107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107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107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261"/>
      <c r="E16" s="259"/>
    </row>
    <row r="17" spans="1:5" s="208" customFormat="1" ht="12" customHeight="1">
      <c r="A17" s="201" t="s">
        <v>78</v>
      </c>
      <c r="B17" s="6" t="s">
        <v>188</v>
      </c>
      <c r="C17" s="107"/>
      <c r="D17" s="107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109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109"/>
      <c r="E19" s="256"/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107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107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107"/>
      <c r="E23" s="255"/>
    </row>
    <row r="24" spans="1:5" s="208" customFormat="1" ht="12" customHeight="1" thickBot="1">
      <c r="A24" s="201" t="s">
        <v>73</v>
      </c>
      <c r="B24" s="6" t="s">
        <v>403</v>
      </c>
      <c r="C24" s="107"/>
      <c r="D24" s="107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2"/>
      <c r="E25" s="137"/>
    </row>
    <row r="26" spans="1:5" s="208" customFormat="1" ht="12" customHeight="1" thickBot="1">
      <c r="A26" s="75" t="s">
        <v>9</v>
      </c>
      <c r="B26" s="57" t="s">
        <v>404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>
      <c r="A27" s="202" t="s">
        <v>171</v>
      </c>
      <c r="B27" s="203" t="s">
        <v>167</v>
      </c>
      <c r="C27" s="262"/>
      <c r="D27" s="262"/>
      <c r="E27" s="260"/>
    </row>
    <row r="28" spans="1:5" s="208" customFormat="1" ht="12" customHeight="1">
      <c r="A28" s="202" t="s">
        <v>172</v>
      </c>
      <c r="B28" s="203" t="s">
        <v>303</v>
      </c>
      <c r="C28" s="107"/>
      <c r="D28" s="107"/>
      <c r="E28" s="255"/>
    </row>
    <row r="29" spans="1:5" s="208" customFormat="1" ht="12" customHeight="1">
      <c r="A29" s="202" t="s">
        <v>173</v>
      </c>
      <c r="B29" s="204" t="s">
        <v>306</v>
      </c>
      <c r="C29" s="107"/>
      <c r="D29" s="107"/>
      <c r="E29" s="255"/>
    </row>
    <row r="30" spans="1:5" s="208" customFormat="1" ht="12" customHeight="1" thickBot="1">
      <c r="A30" s="201" t="s">
        <v>174</v>
      </c>
      <c r="B30" s="62" t="s">
        <v>405</v>
      </c>
      <c r="C30" s="48"/>
      <c r="D30" s="48"/>
      <c r="E30" s="311"/>
    </row>
    <row r="31" spans="1:5" s="208" customFormat="1" ht="12" customHeight="1" thickBot="1">
      <c r="A31" s="75" t="s">
        <v>10</v>
      </c>
      <c r="B31" s="57" t="s">
        <v>307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>
      <c r="A32" s="202" t="s">
        <v>57</v>
      </c>
      <c r="B32" s="203" t="s">
        <v>194</v>
      </c>
      <c r="C32" s="262"/>
      <c r="D32" s="262"/>
      <c r="E32" s="260"/>
    </row>
    <row r="33" spans="1:5" s="208" customFormat="1" ht="12" customHeight="1">
      <c r="A33" s="202" t="s">
        <v>58</v>
      </c>
      <c r="B33" s="204" t="s">
        <v>195</v>
      </c>
      <c r="C33" s="111"/>
      <c r="D33" s="111"/>
      <c r="E33" s="257"/>
    </row>
    <row r="34" spans="1:5" s="208" customFormat="1" ht="12" customHeight="1" thickBot="1">
      <c r="A34" s="201" t="s">
        <v>59</v>
      </c>
      <c r="B34" s="62" t="s">
        <v>196</v>
      </c>
      <c r="C34" s="48"/>
      <c r="D34" s="48"/>
      <c r="E34" s="311"/>
    </row>
    <row r="35" spans="1:5" s="143" customFormat="1" ht="12" customHeight="1" thickBot="1">
      <c r="A35" s="75" t="s">
        <v>11</v>
      </c>
      <c r="B35" s="57" t="s">
        <v>279</v>
      </c>
      <c r="C35" s="312"/>
      <c r="D35" s="312"/>
      <c r="E35" s="137"/>
    </row>
    <row r="36" spans="1:5" s="143" customFormat="1" ht="12" customHeight="1" thickBot="1">
      <c r="A36" s="75" t="s">
        <v>12</v>
      </c>
      <c r="B36" s="57" t="s">
        <v>308</v>
      </c>
      <c r="C36" s="312"/>
      <c r="D36" s="312"/>
      <c r="E36" s="137"/>
    </row>
    <row r="37" spans="1:5" s="143" customFormat="1" ht="12" customHeight="1" thickBot="1">
      <c r="A37" s="72" t="s">
        <v>13</v>
      </c>
      <c r="B37" s="57" t="s">
        <v>309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81" t="s">
        <v>14</v>
      </c>
      <c r="B38" s="57" t="s">
        <v>310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>
      <c r="A39" s="202" t="s">
        <v>311</v>
      </c>
      <c r="B39" s="203" t="s">
        <v>145</v>
      </c>
      <c r="C39" s="262"/>
      <c r="D39" s="262"/>
      <c r="E39" s="260"/>
    </row>
    <row r="40" spans="1:5" s="143" customFormat="1" ht="12" customHeight="1">
      <c r="A40" s="202" t="s">
        <v>312</v>
      </c>
      <c r="B40" s="204" t="s">
        <v>0</v>
      </c>
      <c r="C40" s="111"/>
      <c r="D40" s="111"/>
      <c r="E40" s="257"/>
    </row>
    <row r="41" spans="1:5" s="208" customFormat="1" ht="12" customHeight="1" thickBot="1">
      <c r="A41" s="201" t="s">
        <v>313</v>
      </c>
      <c r="B41" s="62" t="s">
        <v>314</v>
      </c>
      <c r="C41" s="48"/>
      <c r="D41" s="48"/>
      <c r="E41" s="311"/>
    </row>
    <row r="42" spans="1:5" s="208" customFormat="1" ht="15" customHeight="1" thickBot="1">
      <c r="A42" s="81" t="s">
        <v>15</v>
      </c>
      <c r="B42" s="82" t="s">
        <v>315</v>
      </c>
      <c r="C42" s="313">
        <f>+C37+C38</f>
        <v>0</v>
      </c>
      <c r="D42" s="313">
        <f>+D37+D38</f>
        <v>0</v>
      </c>
      <c r="E42" s="141">
        <f>+E37+E38</f>
        <v>0</v>
      </c>
    </row>
    <row r="43" spans="1:3" s="208" customFormat="1" ht="15" customHeight="1">
      <c r="A43" s="83"/>
      <c r="B43" s="84"/>
      <c r="C43" s="139"/>
    </row>
    <row r="44" spans="1:3" ht="13.5" thickBot="1">
      <c r="A44" s="85"/>
      <c r="B44" s="86"/>
      <c r="C44" s="140"/>
    </row>
    <row r="45" spans="1:5" s="207" customFormat="1" ht="16.5" customHeight="1" thickBot="1">
      <c r="A45" s="799" t="s">
        <v>41</v>
      </c>
      <c r="B45" s="800"/>
      <c r="C45" s="800"/>
      <c r="D45" s="800"/>
      <c r="E45" s="801"/>
    </row>
    <row r="46" spans="1:5" s="209" customFormat="1" ht="12" customHeight="1" thickBot="1">
      <c r="A46" s="75" t="s">
        <v>6</v>
      </c>
      <c r="B46" s="57" t="s">
        <v>316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>
      <c r="A47" s="201" t="s">
        <v>64</v>
      </c>
      <c r="B47" s="7" t="s">
        <v>35</v>
      </c>
      <c r="C47" s="262"/>
      <c r="D47" s="262"/>
      <c r="E47" s="260"/>
    </row>
    <row r="48" spans="1:5" ht="12" customHeight="1">
      <c r="A48" s="201" t="s">
        <v>65</v>
      </c>
      <c r="B48" s="6" t="s">
        <v>121</v>
      </c>
      <c r="C48" s="47"/>
      <c r="D48" s="47"/>
      <c r="E48" s="258"/>
    </row>
    <row r="49" spans="1:5" ht="12" customHeight="1">
      <c r="A49" s="201" t="s">
        <v>66</v>
      </c>
      <c r="B49" s="6" t="s">
        <v>92</v>
      </c>
      <c r="C49" s="47"/>
      <c r="D49" s="47"/>
      <c r="E49" s="258"/>
    </row>
    <row r="50" spans="1:5" ht="12" customHeight="1">
      <c r="A50" s="201" t="s">
        <v>67</v>
      </c>
      <c r="B50" s="6" t="s">
        <v>122</v>
      </c>
      <c r="C50" s="47"/>
      <c r="D50" s="47"/>
      <c r="E50" s="258"/>
    </row>
    <row r="51" spans="1:5" ht="12" customHeight="1" thickBot="1">
      <c r="A51" s="201" t="s">
        <v>96</v>
      </c>
      <c r="B51" s="6" t="s">
        <v>123</v>
      </c>
      <c r="C51" s="47"/>
      <c r="D51" s="47"/>
      <c r="E51" s="258"/>
    </row>
    <row r="52" spans="1:5" ht="12" customHeight="1" thickBot="1">
      <c r="A52" s="75" t="s">
        <v>7</v>
      </c>
      <c r="B52" s="57" t="s">
        <v>317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>
      <c r="A53" s="201" t="s">
        <v>70</v>
      </c>
      <c r="B53" s="7" t="s">
        <v>138</v>
      </c>
      <c r="C53" s="262"/>
      <c r="D53" s="262"/>
      <c r="E53" s="260"/>
    </row>
    <row r="54" spans="1:5" ht="12" customHeight="1">
      <c r="A54" s="201" t="s">
        <v>71</v>
      </c>
      <c r="B54" s="6" t="s">
        <v>125</v>
      </c>
      <c r="C54" s="47"/>
      <c r="D54" s="47"/>
      <c r="E54" s="258"/>
    </row>
    <row r="55" spans="1:5" ht="12" customHeight="1">
      <c r="A55" s="201" t="s">
        <v>72</v>
      </c>
      <c r="B55" s="6" t="s">
        <v>42</v>
      </c>
      <c r="C55" s="47"/>
      <c r="D55" s="47"/>
      <c r="E55" s="258"/>
    </row>
    <row r="56" spans="1:5" ht="12" customHeight="1" thickBot="1">
      <c r="A56" s="201" t="s">
        <v>73</v>
      </c>
      <c r="B56" s="6" t="s">
        <v>406</v>
      </c>
      <c r="C56" s="47"/>
      <c r="D56" s="47"/>
      <c r="E56" s="258"/>
    </row>
    <row r="57" spans="1:5" ht="12" customHeight="1" thickBot="1">
      <c r="A57" s="75" t="s">
        <v>8</v>
      </c>
      <c r="B57" s="57" t="s">
        <v>2</v>
      </c>
      <c r="C57" s="312"/>
      <c r="D57" s="312"/>
      <c r="E57" s="137"/>
    </row>
    <row r="58" spans="1:5" ht="15" customHeight="1" thickBot="1">
      <c r="A58" s="75" t="s">
        <v>9</v>
      </c>
      <c r="B58" s="87" t="s">
        <v>410</v>
      </c>
      <c r="C58" s="313">
        <f>+C46+C52+C57</f>
        <v>0</v>
      </c>
      <c r="D58" s="313">
        <f>+D46+D52+D57</f>
        <v>0</v>
      </c>
      <c r="E58" s="141">
        <f>+E46+E52+E57</f>
        <v>0</v>
      </c>
    </row>
    <row r="59" spans="3:5" ht="13.5" thickBot="1">
      <c r="C59" s="602">
        <f>C42-C58</f>
        <v>0</v>
      </c>
      <c r="D59" s="602">
        <f>D42-D58</f>
        <v>0</v>
      </c>
      <c r="E59" s="142"/>
    </row>
    <row r="60" spans="1:5" ht="15" customHeight="1" thickBot="1">
      <c r="A60" s="318" t="s">
        <v>490</v>
      </c>
      <c r="B60" s="319"/>
      <c r="C60" s="307"/>
      <c r="D60" s="307"/>
      <c r="E60" s="306"/>
    </row>
    <row r="61" spans="1:5" ht="14.25" customHeight="1" thickBot="1">
      <c r="A61" s="320" t="s">
        <v>491</v>
      </c>
      <c r="B61" s="321"/>
      <c r="C61" s="307"/>
      <c r="D61" s="307"/>
      <c r="E61" s="306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8">
      <selection activeCell="E52" sqref="E52"/>
    </sheetView>
  </sheetViews>
  <sheetFormatPr defaultColWidth="9.375" defaultRowHeight="12.75"/>
  <cols>
    <col min="1" max="1" width="13.75390625" style="88" customWidth="1"/>
    <col min="2" max="2" width="54.50390625" style="89" customWidth="1"/>
    <col min="3" max="5" width="15.75390625" style="89" customWidth="1"/>
    <col min="6" max="16384" width="9.375" style="89" customWidth="1"/>
  </cols>
  <sheetData>
    <row r="1" spans="1:5" s="79" customFormat="1" ht="15.75" thickBot="1">
      <c r="A1" s="374"/>
      <c r="B1" s="803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04"/>
      <c r="D1" s="804"/>
      <c r="E1" s="804"/>
    </row>
    <row r="2" spans="1:5" s="205" customFormat="1" ht="25.5" customHeight="1" thickBot="1">
      <c r="A2" s="375" t="s">
        <v>457</v>
      </c>
      <c r="B2" s="808" t="str">
        <f>Z_ALAPADATOK!B13</f>
        <v>Balatonvilágosi Szivárvány Óvoda</v>
      </c>
      <c r="C2" s="809"/>
      <c r="D2" s="810"/>
      <c r="E2" s="376" t="s">
        <v>44</v>
      </c>
    </row>
    <row r="3" spans="1:5" s="205" customFormat="1" ht="23.25" thickBot="1">
      <c r="A3" s="375" t="s">
        <v>134</v>
      </c>
      <c r="B3" s="808" t="s">
        <v>299</v>
      </c>
      <c r="C3" s="809"/>
      <c r="D3" s="810"/>
      <c r="E3" s="376" t="s">
        <v>39</v>
      </c>
    </row>
    <row r="4" spans="1:5" s="206" customFormat="1" ht="15.75" customHeight="1" thickBot="1">
      <c r="A4" s="377"/>
      <c r="B4" s="377"/>
      <c r="C4" s="378"/>
      <c r="D4" s="379"/>
      <c r="E4" s="378" t="str">
        <f>'[2]Z_6.2.3.sz.mell'!E4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CONCATENATE('Z_6.2.2.sz.mell'!E5)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12">
        <f>SUM(E9:E19)</f>
        <v>3881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250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250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>
        <v>5</v>
      </c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>
        <v>3876</v>
      </c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0</v>
      </c>
      <c r="D36" s="252">
        <f>+D8+D20+D25+D26+D30+D34+D35</f>
        <v>0</v>
      </c>
      <c r="E36" s="138">
        <f>+E8+E20+E25+E26+E30+E34+E35</f>
        <v>3881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44350716</v>
      </c>
      <c r="D37" s="252">
        <f>+D38+D39+D40</f>
        <v>48779520</v>
      </c>
      <c r="E37" s="138">
        <f>+E38+E39+E40</f>
        <v>50033538</v>
      </c>
    </row>
    <row r="38" spans="1:5" s="143" customFormat="1" ht="12" customHeight="1">
      <c r="A38" s="202" t="s">
        <v>311</v>
      </c>
      <c r="B38" s="203" t="s">
        <v>145</v>
      </c>
      <c r="C38" s="262">
        <v>1806538</v>
      </c>
      <c r="D38" s="59">
        <v>1806538</v>
      </c>
      <c r="E38" s="260">
        <v>1806538</v>
      </c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>
        <v>42544178</v>
      </c>
      <c r="D40" s="316">
        <v>46972982</v>
      </c>
      <c r="E40" s="311">
        <v>48227000</v>
      </c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44350716</v>
      </c>
      <c r="D41" s="309">
        <f>+D36+D37</f>
        <v>48779520</v>
      </c>
      <c r="E41" s="141">
        <f>+E36+E37</f>
        <v>50037419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43234655</v>
      </c>
      <c r="D45" s="252">
        <f>SUM(D46:D50)</f>
        <v>45482869</v>
      </c>
      <c r="E45" s="138">
        <f>SUM(E46:E50)</f>
        <v>43875915</v>
      </c>
    </row>
    <row r="46" spans="1:5" ht="12" customHeight="1">
      <c r="A46" s="201" t="s">
        <v>64</v>
      </c>
      <c r="B46" s="7" t="s">
        <v>35</v>
      </c>
      <c r="C46" s="262">
        <v>32369480</v>
      </c>
      <c r="D46" s="59">
        <v>34287271</v>
      </c>
      <c r="E46" s="260">
        <v>33757694</v>
      </c>
    </row>
    <row r="47" spans="1:5" ht="12" customHeight="1">
      <c r="A47" s="201" t="s">
        <v>65</v>
      </c>
      <c r="B47" s="6" t="s">
        <v>121</v>
      </c>
      <c r="C47" s="47">
        <v>6445155</v>
      </c>
      <c r="D47" s="60">
        <v>6768878</v>
      </c>
      <c r="E47" s="258">
        <v>6461573</v>
      </c>
    </row>
    <row r="48" spans="1:5" ht="12" customHeight="1">
      <c r="A48" s="201" t="s">
        <v>66</v>
      </c>
      <c r="B48" s="6" t="s">
        <v>92</v>
      </c>
      <c r="C48" s="47">
        <v>4420020</v>
      </c>
      <c r="D48" s="60">
        <v>4426720</v>
      </c>
      <c r="E48" s="258">
        <v>3656648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1116061</v>
      </c>
      <c r="D51" s="252">
        <f>SUM(D52:D54)</f>
        <v>3296651</v>
      </c>
      <c r="E51" s="138">
        <f>SUM(E52:E54)</f>
        <v>3137819</v>
      </c>
    </row>
    <row r="52" spans="1:5" s="209" customFormat="1" ht="12" customHeight="1">
      <c r="A52" s="201" t="s">
        <v>70</v>
      </c>
      <c r="B52" s="7" t="s">
        <v>138</v>
      </c>
      <c r="C52" s="262">
        <v>1116061</v>
      </c>
      <c r="D52" s="59">
        <v>3296651</v>
      </c>
      <c r="E52" s="260">
        <v>3137819</v>
      </c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44350716</v>
      </c>
      <c r="D57" s="309">
        <f>+D45+D51+D56</f>
        <v>48779520</v>
      </c>
      <c r="E57" s="141">
        <f>+E45+E51+E56</f>
        <v>47013734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>
        <v>10</v>
      </c>
      <c r="D59" s="307">
        <v>10</v>
      </c>
      <c r="E59" s="306">
        <v>10</v>
      </c>
    </row>
    <row r="60" spans="1:5" ht="13.5" thickBot="1">
      <c r="A60" s="320" t="s">
        <v>491</v>
      </c>
      <c r="B60" s="321"/>
      <c r="C60" s="307">
        <v>0</v>
      </c>
      <c r="D60" s="307">
        <v>0</v>
      </c>
      <c r="E60" s="306">
        <v>0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4">
      <selection activeCell="H60" sqref="H60"/>
    </sheetView>
  </sheetViews>
  <sheetFormatPr defaultColWidth="9.375" defaultRowHeight="12.75"/>
  <cols>
    <col min="1" max="1" width="13.75390625" style="88" customWidth="1"/>
    <col min="2" max="2" width="54.50390625" style="89" customWidth="1"/>
    <col min="3" max="5" width="15.75390625" style="89" customWidth="1"/>
    <col min="6" max="16384" width="9.375" style="89" customWidth="1"/>
  </cols>
  <sheetData>
    <row r="1" spans="1:5" s="79" customFormat="1" ht="15.75" thickBot="1">
      <c r="A1" s="374"/>
      <c r="B1" s="803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04"/>
      <c r="D1" s="804"/>
      <c r="E1" s="804"/>
    </row>
    <row r="2" spans="1:5" s="205" customFormat="1" ht="25.5" customHeight="1" thickBot="1">
      <c r="A2" s="375" t="s">
        <v>457</v>
      </c>
      <c r="B2" s="808" t="str">
        <f>Z_ALAPADATOK!B13</f>
        <v>Balatonvilágosi Szivárvány Óvoda</v>
      </c>
      <c r="C2" s="809"/>
      <c r="D2" s="810"/>
      <c r="E2" s="376" t="s">
        <v>44</v>
      </c>
    </row>
    <row r="3" spans="1:5" s="205" customFormat="1" ht="23.25" thickBot="1">
      <c r="A3" s="375" t="s">
        <v>134</v>
      </c>
      <c r="B3" s="808" t="s">
        <v>809</v>
      </c>
      <c r="C3" s="809"/>
      <c r="D3" s="810"/>
      <c r="E3" s="376" t="s">
        <v>39</v>
      </c>
    </row>
    <row r="4" spans="1:5" s="206" customFormat="1" ht="15.75" customHeight="1" thickBot="1">
      <c r="A4" s="377"/>
      <c r="B4" s="377"/>
      <c r="C4" s="378"/>
      <c r="D4" s="379"/>
      <c r="E4" s="378" t="str">
        <f>'[2]Z_6.2.3.sz.mell'!E4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CONCATENATE('Z_6.2.2.sz.mell'!E5)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12">
        <f>SUM(E9:E19)</f>
        <v>3881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250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250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>
        <v>5</v>
      </c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>
        <v>3876</v>
      </c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0</v>
      </c>
      <c r="D36" s="252">
        <f>+D8+D20+D25+D26+D30+D34+D35</f>
        <v>0</v>
      </c>
      <c r="E36" s="138">
        <f>+E8+E20+E25+E26+E30+E34+E35</f>
        <v>3881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44350716</v>
      </c>
      <c r="D37" s="252">
        <f>+D38+D39+D40</f>
        <v>48779520</v>
      </c>
      <c r="E37" s="138">
        <f>+E38+E39+E40</f>
        <v>50033538</v>
      </c>
    </row>
    <row r="38" spans="1:5" s="143" customFormat="1" ht="12" customHeight="1">
      <c r="A38" s="202" t="s">
        <v>311</v>
      </c>
      <c r="B38" s="203" t="s">
        <v>145</v>
      </c>
      <c r="C38" s="262">
        <v>1806538</v>
      </c>
      <c r="D38" s="59">
        <v>1806538</v>
      </c>
      <c r="E38" s="260">
        <v>1806538</v>
      </c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>
        <v>42544178</v>
      </c>
      <c r="D40" s="316">
        <v>46972982</v>
      </c>
      <c r="E40" s="311">
        <v>48227000</v>
      </c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44350716</v>
      </c>
      <c r="D41" s="309">
        <f>+D36+D37</f>
        <v>48779520</v>
      </c>
      <c r="E41" s="141">
        <f>+E36+E37</f>
        <v>50037419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43234655</v>
      </c>
      <c r="D45" s="252">
        <f>SUM(D46:D50)</f>
        <v>45482869</v>
      </c>
      <c r="E45" s="138">
        <f>SUM(E46:E50)</f>
        <v>43875915</v>
      </c>
    </row>
    <row r="46" spans="1:5" ht="12" customHeight="1">
      <c r="A46" s="201" t="s">
        <v>64</v>
      </c>
      <c r="B46" s="7" t="s">
        <v>35</v>
      </c>
      <c r="C46" s="262">
        <v>32369480</v>
      </c>
      <c r="D46" s="59">
        <v>34287271</v>
      </c>
      <c r="E46" s="260">
        <v>33757694</v>
      </c>
    </row>
    <row r="47" spans="1:5" ht="12" customHeight="1">
      <c r="A47" s="201" t="s">
        <v>65</v>
      </c>
      <c r="B47" s="6" t="s">
        <v>121</v>
      </c>
      <c r="C47" s="47">
        <v>6445155</v>
      </c>
      <c r="D47" s="60">
        <v>6768878</v>
      </c>
      <c r="E47" s="258">
        <v>6461573</v>
      </c>
    </row>
    <row r="48" spans="1:5" ht="12" customHeight="1">
      <c r="A48" s="201" t="s">
        <v>66</v>
      </c>
      <c r="B48" s="6" t="s">
        <v>92</v>
      </c>
      <c r="C48" s="47">
        <v>4420020</v>
      </c>
      <c r="D48" s="60">
        <v>4426720</v>
      </c>
      <c r="E48" s="258">
        <v>3656648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1116061</v>
      </c>
      <c r="D51" s="252">
        <f>SUM(D52:D54)</f>
        <v>3296651</v>
      </c>
      <c r="E51" s="138">
        <f>SUM(E52:E54)</f>
        <v>3137819</v>
      </c>
    </row>
    <row r="52" spans="1:5" s="209" customFormat="1" ht="12" customHeight="1">
      <c r="A52" s="201" t="s">
        <v>70</v>
      </c>
      <c r="B52" s="7" t="s">
        <v>138</v>
      </c>
      <c r="C52" s="262">
        <v>1116061</v>
      </c>
      <c r="D52" s="59">
        <v>3296651</v>
      </c>
      <c r="E52" s="260">
        <v>3137819</v>
      </c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44350716</v>
      </c>
      <c r="D57" s="309">
        <f>+D45+D51+D56</f>
        <v>48779520</v>
      </c>
      <c r="E57" s="141">
        <f>+E45+E51+E56</f>
        <v>47013734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>
        <v>10</v>
      </c>
      <c r="D59" s="307">
        <v>10</v>
      </c>
      <c r="E59" s="306">
        <v>10</v>
      </c>
    </row>
    <row r="60" spans="1:5" ht="13.5" thickBot="1">
      <c r="A60" s="320" t="s">
        <v>491</v>
      </c>
      <c r="B60" s="321"/>
      <c r="C60" s="307">
        <v>0</v>
      </c>
      <c r="D60" s="307">
        <v>0</v>
      </c>
      <c r="E60" s="306">
        <v>0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3">
      <selection activeCell="H14" sqref="H14"/>
    </sheetView>
  </sheetViews>
  <sheetFormatPr defaultColWidth="9.375" defaultRowHeight="12.75"/>
  <cols>
    <col min="1" max="1" width="13.75390625" style="88" customWidth="1"/>
    <col min="2" max="2" width="54.50390625" style="89" customWidth="1"/>
    <col min="3" max="5" width="15.75390625" style="89" customWidth="1"/>
    <col min="6" max="16384" width="9.375" style="89" customWidth="1"/>
  </cols>
  <sheetData>
    <row r="1" spans="1:5" s="79" customFormat="1" ht="15.75" thickBot="1">
      <c r="A1" s="374"/>
      <c r="B1" s="811" t="str">
        <f>CONCATENATE("6.3.2. melléklet ",Z_ALAPADATOK!A7," ",Z_ALAPADATOK!B7," ",Z_ALAPADATOK!C7," ",Z_ALAPADATOK!D7," ",Z_ALAPADATOK!E7," ",Z_ALAPADATOK!F7," ",Z_ALAPADATOK!G7," ",Z_ALAPADATOK!H7)</f>
        <v>6.3.2. melléklet a … / 2020. ( … ) önkormányzati rendelethez</v>
      </c>
      <c r="C1" s="812"/>
      <c r="D1" s="812"/>
      <c r="E1" s="812"/>
    </row>
    <row r="2" spans="1:5" s="205" customFormat="1" ht="25.5" customHeight="1" thickBot="1">
      <c r="A2" s="375" t="s">
        <v>457</v>
      </c>
      <c r="B2" s="808" t="str">
        <f>CONCATENATE('Z_6.3.1.sz.mell'!B2:D2)</f>
        <v>Balatonvilágosi Szivárvány Óvoda</v>
      </c>
      <c r="C2" s="809"/>
      <c r="D2" s="810"/>
      <c r="E2" s="376" t="s">
        <v>44</v>
      </c>
    </row>
    <row r="3" spans="1:5" s="205" customFormat="1" ht="23.25" thickBot="1">
      <c r="A3" s="375" t="s">
        <v>134</v>
      </c>
      <c r="B3" s="808" t="s">
        <v>319</v>
      </c>
      <c r="C3" s="809"/>
      <c r="D3" s="810"/>
      <c r="E3" s="376" t="s">
        <v>44</v>
      </c>
    </row>
    <row r="4" spans="1:5" s="206" customFormat="1" ht="15.75" customHeight="1" thickBot="1">
      <c r="A4" s="377"/>
      <c r="B4" s="377"/>
      <c r="C4" s="378"/>
      <c r="D4" s="379"/>
      <c r="E4" s="378" t="str">
        <f>'Z_6.3.1.sz.mell'!E4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+CONCATENATE("Teljesítés",CHAR(10),LEFT(Z_ÖSSZEFÜGGÉSEK!A6,4),". XII. 31.")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250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250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/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/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0</v>
      </c>
      <c r="D36" s="252">
        <f>+D8+D20+D25+D26+D30+D34+D35</f>
        <v>0</v>
      </c>
      <c r="E36" s="138">
        <f>+E8+E20+E25+E26+E30+E34+E35</f>
        <v>0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0</v>
      </c>
      <c r="D37" s="252">
        <f>+D38+D39+D40</f>
        <v>0</v>
      </c>
      <c r="E37" s="138">
        <f>+E38+E39+E40</f>
        <v>0</v>
      </c>
    </row>
    <row r="38" spans="1:5" s="143" customFormat="1" ht="12" customHeight="1">
      <c r="A38" s="202" t="s">
        <v>311</v>
      </c>
      <c r="B38" s="203" t="s">
        <v>145</v>
      </c>
      <c r="C38" s="262"/>
      <c r="D38" s="59"/>
      <c r="E38" s="260"/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/>
      <c r="D40" s="316"/>
      <c r="E40" s="311"/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0</v>
      </c>
      <c r="D41" s="309">
        <f>+D36+D37</f>
        <v>0</v>
      </c>
      <c r="E41" s="141">
        <f>+E36+E37</f>
        <v>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0</v>
      </c>
      <c r="D45" s="252">
        <f>SUM(D46:D50)</f>
        <v>0</v>
      </c>
      <c r="E45" s="138">
        <f>SUM(E46:E50)</f>
        <v>0</v>
      </c>
    </row>
    <row r="46" spans="1:5" ht="12" customHeight="1">
      <c r="A46" s="201" t="s">
        <v>64</v>
      </c>
      <c r="B46" s="7" t="s">
        <v>35</v>
      </c>
      <c r="C46" s="262"/>
      <c r="D46" s="59"/>
      <c r="E46" s="260"/>
    </row>
    <row r="47" spans="1:5" ht="12" customHeight="1">
      <c r="A47" s="201" t="s">
        <v>65</v>
      </c>
      <c r="B47" s="6" t="s">
        <v>121</v>
      </c>
      <c r="C47" s="47"/>
      <c r="D47" s="60"/>
      <c r="E47" s="258"/>
    </row>
    <row r="48" spans="1:5" ht="12" customHeight="1">
      <c r="A48" s="201" t="s">
        <v>66</v>
      </c>
      <c r="B48" s="6" t="s">
        <v>92</v>
      </c>
      <c r="C48" s="47"/>
      <c r="D48" s="60"/>
      <c r="E48" s="258"/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0</v>
      </c>
      <c r="D51" s="252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138</v>
      </c>
      <c r="C52" s="262"/>
      <c r="D52" s="59"/>
      <c r="E52" s="260"/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0</v>
      </c>
      <c r="D57" s="309">
        <f>+D45+D51+D56</f>
        <v>0</v>
      </c>
      <c r="E57" s="141">
        <f>+E45+E51+E56</f>
        <v>0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/>
      <c r="D59" s="307"/>
      <c r="E59" s="306"/>
    </row>
    <row r="60" spans="1:5" ht="13.5" thickBot="1">
      <c r="A60" s="320" t="s">
        <v>491</v>
      </c>
      <c r="B60" s="321"/>
      <c r="C60" s="307"/>
      <c r="D60" s="307"/>
      <c r="E60" s="30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P27" sqref="P27"/>
    </sheetView>
  </sheetViews>
  <sheetFormatPr defaultColWidth="9.375" defaultRowHeight="12.75"/>
  <cols>
    <col min="1" max="1" width="13.75390625" style="88" customWidth="1"/>
    <col min="2" max="2" width="54.50390625" style="89" customWidth="1"/>
    <col min="3" max="5" width="15.75390625" style="89" customWidth="1"/>
    <col min="6" max="16384" width="9.375" style="89" customWidth="1"/>
  </cols>
  <sheetData>
    <row r="1" spans="1:5" s="79" customFormat="1" ht="15.75" thickBot="1">
      <c r="A1" s="374"/>
      <c r="B1" s="811" t="str">
        <f>CONCATENATE("6.3.3. melléklet ",Z_ALAPADATOK!A7," ",Z_ALAPADATOK!B7," ",Z_ALAPADATOK!C7," ",Z_ALAPADATOK!D7," ",Z_ALAPADATOK!E7," ",Z_ALAPADATOK!F7," ",Z_ALAPADATOK!G7," ",Z_ALAPADATOK!H7)</f>
        <v>6.3.3. melléklet a … / 2020. ( … ) önkormányzati rendelethez</v>
      </c>
      <c r="C1" s="812"/>
      <c r="D1" s="812"/>
      <c r="E1" s="812"/>
    </row>
    <row r="2" spans="1:5" s="205" customFormat="1" ht="25.5" customHeight="1" thickBot="1">
      <c r="A2" s="375" t="s">
        <v>457</v>
      </c>
      <c r="B2" s="808" t="str">
        <f>CONCATENATE('Z_6.3.2.sz.mell'!B2:D2)</f>
        <v>Balatonvilágosi Szivárvány Óvoda</v>
      </c>
      <c r="C2" s="809"/>
      <c r="D2" s="810"/>
      <c r="E2" s="376" t="s">
        <v>44</v>
      </c>
    </row>
    <row r="3" spans="1:5" s="205" customFormat="1" ht="23.25" thickBot="1">
      <c r="A3" s="375" t="s">
        <v>134</v>
      </c>
      <c r="B3" s="808" t="s">
        <v>411</v>
      </c>
      <c r="C3" s="809"/>
      <c r="D3" s="810"/>
      <c r="E3" s="376" t="s">
        <v>328</v>
      </c>
    </row>
    <row r="4" spans="1:5" s="206" customFormat="1" ht="15.75" customHeight="1" thickBot="1">
      <c r="A4" s="377"/>
      <c r="B4" s="377"/>
      <c r="C4" s="378"/>
      <c r="D4" s="379"/>
      <c r="E4" s="378" t="str">
        <f>'Z_6.3.2.sz.mell'!E4</f>
        <v> Forintban!</v>
      </c>
    </row>
    <row r="5" spans="1:5" ht="23.2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CONCATENATE('Z_6.3.2.sz.mell'!E5)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250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250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/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/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0</v>
      </c>
      <c r="D36" s="252">
        <f>+D8+D20+D25+D26+D30+D34+D35</f>
        <v>0</v>
      </c>
      <c r="E36" s="138">
        <f>+E8+E20+E25+E26+E30+E34+E35</f>
        <v>0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0</v>
      </c>
      <c r="D37" s="252">
        <f>+D38+D39+D40</f>
        <v>0</v>
      </c>
      <c r="E37" s="138">
        <f>+E38+E39+E40</f>
        <v>0</v>
      </c>
    </row>
    <row r="38" spans="1:5" s="143" customFormat="1" ht="12" customHeight="1">
      <c r="A38" s="202" t="s">
        <v>311</v>
      </c>
      <c r="B38" s="203" t="s">
        <v>145</v>
      </c>
      <c r="C38" s="262"/>
      <c r="D38" s="59"/>
      <c r="E38" s="260"/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/>
      <c r="D40" s="316"/>
      <c r="E40" s="311"/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0</v>
      </c>
      <c r="D41" s="309">
        <f>+D36+D37</f>
        <v>0</v>
      </c>
      <c r="E41" s="141">
        <f>+E36+E37</f>
        <v>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0</v>
      </c>
      <c r="D45" s="252">
        <f>SUM(D46:D50)</f>
        <v>0</v>
      </c>
      <c r="E45" s="138">
        <f>SUM(E46:E50)</f>
        <v>0</v>
      </c>
    </row>
    <row r="46" spans="1:5" ht="12" customHeight="1">
      <c r="A46" s="201" t="s">
        <v>64</v>
      </c>
      <c r="B46" s="7" t="s">
        <v>35</v>
      </c>
      <c r="C46" s="262"/>
      <c r="D46" s="59"/>
      <c r="E46" s="260"/>
    </row>
    <row r="47" spans="1:5" ht="12" customHeight="1">
      <c r="A47" s="201" t="s">
        <v>65</v>
      </c>
      <c r="B47" s="6" t="s">
        <v>121</v>
      </c>
      <c r="C47" s="47"/>
      <c r="D47" s="60"/>
      <c r="E47" s="258"/>
    </row>
    <row r="48" spans="1:5" ht="12" customHeight="1">
      <c r="A48" s="201" t="s">
        <v>66</v>
      </c>
      <c r="B48" s="6" t="s">
        <v>92</v>
      </c>
      <c r="C48" s="47"/>
      <c r="D48" s="60"/>
      <c r="E48" s="258"/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0</v>
      </c>
      <c r="D51" s="252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138</v>
      </c>
      <c r="C52" s="262"/>
      <c r="D52" s="59"/>
      <c r="E52" s="260"/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0</v>
      </c>
      <c r="D57" s="309">
        <f>+D45+D51+D56</f>
        <v>0</v>
      </c>
      <c r="E57" s="141">
        <f>+E45+E51+E56</f>
        <v>0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/>
      <c r="D59" s="307"/>
      <c r="E59" s="306"/>
    </row>
    <row r="60" spans="1:5" ht="13.5" thickBot="1">
      <c r="A60" s="320" t="s">
        <v>491</v>
      </c>
      <c r="B60" s="321"/>
      <c r="C60" s="307"/>
      <c r="D60" s="307"/>
      <c r="E60" s="30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="120" zoomScaleNormal="120" workbookViewId="0" topLeftCell="A1">
      <selection activeCell="G54" sqref="G54"/>
    </sheetView>
  </sheetViews>
  <sheetFormatPr defaultColWidth="9.375" defaultRowHeight="12.75"/>
  <cols>
    <col min="1" max="1" width="7.00390625" style="625" customWidth="1"/>
    <col min="2" max="2" width="32.00390625" style="89" customWidth="1"/>
    <col min="3" max="3" width="12.50390625" style="89" customWidth="1"/>
    <col min="4" max="6" width="11.75390625" style="89" customWidth="1"/>
    <col min="7" max="7" width="12.75390625" style="89" customWidth="1"/>
    <col min="8" max="16384" width="9.375" style="89" customWidth="1"/>
  </cols>
  <sheetData>
    <row r="1" spans="1:7" ht="18.75" customHeight="1">
      <c r="A1" s="817" t="str">
        <f>CONCATENATE("7. melléklet ",Z_ALAPADATOK!A7," ",Z_ALAPADATOK!B7," ",Z_ALAPADATOK!C7," ",Z_ALAPADATOK!D7," ",Z_ALAPADATOK!E7," ",Z_ALAPADATOK!F7," ",Z_ALAPADATOK!G7," ",Z_ALAPADATOK!H7)</f>
        <v>7. melléklet a … / 2020. ( … ) önkormányzati rendelethez</v>
      </c>
      <c r="B1" s="818"/>
      <c r="C1" s="818"/>
      <c r="D1" s="818"/>
      <c r="E1" s="818"/>
      <c r="F1" s="818"/>
      <c r="G1" s="818"/>
    </row>
    <row r="3" spans="1:7" ht="15">
      <c r="A3" s="815" t="s">
        <v>790</v>
      </c>
      <c r="B3" s="816"/>
      <c r="C3" s="816"/>
      <c r="D3" s="816"/>
      <c r="E3" s="816"/>
      <c r="F3" s="816"/>
      <c r="G3" s="816"/>
    </row>
    <row r="5" ht="14.25" thickBot="1">
      <c r="G5" s="626" t="s">
        <v>794</v>
      </c>
    </row>
    <row r="6" spans="1:7" ht="17.25" customHeight="1" thickBot="1">
      <c r="A6" s="819" t="s">
        <v>4</v>
      </c>
      <c r="B6" s="821" t="s">
        <v>782</v>
      </c>
      <c r="C6" s="821" t="s">
        <v>783</v>
      </c>
      <c r="D6" s="821" t="s">
        <v>784</v>
      </c>
      <c r="E6" s="823" t="s">
        <v>785</v>
      </c>
      <c r="F6" s="823"/>
      <c r="G6" s="824"/>
    </row>
    <row r="7" spans="1:7" s="629" customFormat="1" ht="57.75" customHeight="1" thickBot="1">
      <c r="A7" s="820"/>
      <c r="B7" s="822"/>
      <c r="C7" s="822"/>
      <c r="D7" s="822"/>
      <c r="E7" s="627" t="s">
        <v>786</v>
      </c>
      <c r="F7" s="627" t="s">
        <v>787</v>
      </c>
      <c r="G7" s="628" t="s">
        <v>788</v>
      </c>
    </row>
    <row r="8" spans="1:7" s="209" customFormat="1" ht="15" customHeight="1" thickBot="1">
      <c r="A8" s="72" t="s">
        <v>381</v>
      </c>
      <c r="B8" s="73" t="s">
        <v>382</v>
      </c>
      <c r="C8" s="73" t="s">
        <v>383</v>
      </c>
      <c r="D8" s="73" t="s">
        <v>385</v>
      </c>
      <c r="E8" s="73" t="s">
        <v>789</v>
      </c>
      <c r="F8" s="73" t="s">
        <v>386</v>
      </c>
      <c r="G8" s="74" t="s">
        <v>387</v>
      </c>
    </row>
    <row r="9" spans="1:7" ht="15" customHeight="1">
      <c r="A9" s="630" t="s">
        <v>6</v>
      </c>
      <c r="B9" s="689" t="s">
        <v>803</v>
      </c>
      <c r="C9" s="631">
        <v>175473697</v>
      </c>
      <c r="D9" s="631"/>
      <c r="E9" s="632">
        <f>C9+D9</f>
        <v>175473697</v>
      </c>
      <c r="F9" s="631">
        <v>168230771</v>
      </c>
      <c r="G9" s="633">
        <v>7242926</v>
      </c>
    </row>
    <row r="10" spans="1:7" ht="15" customHeight="1">
      <c r="A10" s="634" t="s">
        <v>7</v>
      </c>
      <c r="B10" s="690" t="s">
        <v>805</v>
      </c>
      <c r="C10" s="21">
        <v>3023685</v>
      </c>
      <c r="D10" s="21"/>
      <c r="E10" s="632">
        <f aca="true" t="shared" si="0" ref="E10:E39">C10+D10</f>
        <v>3023685</v>
      </c>
      <c r="F10" s="21">
        <v>3023685</v>
      </c>
      <c r="G10" s="433"/>
    </row>
    <row r="11" spans="1:7" ht="24" customHeight="1" thickBot="1">
      <c r="A11" s="634" t="s">
        <v>8</v>
      </c>
      <c r="B11" s="691" t="s">
        <v>804</v>
      </c>
      <c r="C11" s="21">
        <v>909891</v>
      </c>
      <c r="D11" s="21"/>
      <c r="E11" s="632">
        <f t="shared" si="0"/>
        <v>909891</v>
      </c>
      <c r="F11" s="21">
        <v>909891</v>
      </c>
      <c r="G11" s="433"/>
    </row>
    <row r="12" spans="1:7" ht="15" customHeight="1" hidden="1">
      <c r="A12" s="634" t="s">
        <v>9</v>
      </c>
      <c r="B12" s="635"/>
      <c r="C12" s="21"/>
      <c r="D12" s="21"/>
      <c r="E12" s="632">
        <f t="shared" si="0"/>
        <v>0</v>
      </c>
      <c r="F12" s="21"/>
      <c r="G12" s="433"/>
    </row>
    <row r="13" spans="1:7" ht="15" customHeight="1" hidden="1">
      <c r="A13" s="634" t="s">
        <v>10</v>
      </c>
      <c r="B13" s="635"/>
      <c r="C13" s="21"/>
      <c r="D13" s="21"/>
      <c r="E13" s="632">
        <f t="shared" si="0"/>
        <v>0</v>
      </c>
      <c r="F13" s="21"/>
      <c r="G13" s="433"/>
    </row>
    <row r="14" spans="1:7" ht="15" customHeight="1" hidden="1">
      <c r="A14" s="634" t="s">
        <v>11</v>
      </c>
      <c r="B14" s="635"/>
      <c r="C14" s="21"/>
      <c r="D14" s="21"/>
      <c r="E14" s="632">
        <f t="shared" si="0"/>
        <v>0</v>
      </c>
      <c r="F14" s="21"/>
      <c r="G14" s="433"/>
    </row>
    <row r="15" spans="1:7" ht="15" customHeight="1" hidden="1">
      <c r="A15" s="634" t="s">
        <v>12</v>
      </c>
      <c r="B15" s="635"/>
      <c r="C15" s="21"/>
      <c r="D15" s="21"/>
      <c r="E15" s="632">
        <f t="shared" si="0"/>
        <v>0</v>
      </c>
      <c r="F15" s="21"/>
      <c r="G15" s="433"/>
    </row>
    <row r="16" spans="1:7" ht="15" customHeight="1" hidden="1">
      <c r="A16" s="634" t="s">
        <v>13</v>
      </c>
      <c r="B16" s="635"/>
      <c r="C16" s="21"/>
      <c r="D16" s="21"/>
      <c r="E16" s="632">
        <f t="shared" si="0"/>
        <v>0</v>
      </c>
      <c r="F16" s="21"/>
      <c r="G16" s="433"/>
    </row>
    <row r="17" spans="1:7" ht="15" customHeight="1" hidden="1">
      <c r="A17" s="634" t="s">
        <v>14</v>
      </c>
      <c r="B17" s="635"/>
      <c r="C17" s="21"/>
      <c r="D17" s="21"/>
      <c r="E17" s="632">
        <f t="shared" si="0"/>
        <v>0</v>
      </c>
      <c r="F17" s="21"/>
      <c r="G17" s="433"/>
    </row>
    <row r="18" spans="1:7" ht="15" customHeight="1" hidden="1">
      <c r="A18" s="634" t="s">
        <v>15</v>
      </c>
      <c r="B18" s="635"/>
      <c r="C18" s="21"/>
      <c r="D18" s="21"/>
      <c r="E18" s="632">
        <f t="shared" si="0"/>
        <v>0</v>
      </c>
      <c r="F18" s="21"/>
      <c r="G18" s="433"/>
    </row>
    <row r="19" spans="1:7" ht="15" customHeight="1" hidden="1">
      <c r="A19" s="634" t="s">
        <v>16</v>
      </c>
      <c r="B19" s="635"/>
      <c r="C19" s="21"/>
      <c r="D19" s="21"/>
      <c r="E19" s="632">
        <f t="shared" si="0"/>
        <v>0</v>
      </c>
      <c r="F19" s="21"/>
      <c r="G19" s="433"/>
    </row>
    <row r="20" spans="1:7" ht="15" customHeight="1" hidden="1">
      <c r="A20" s="634" t="s">
        <v>17</v>
      </c>
      <c r="B20" s="635"/>
      <c r="C20" s="21"/>
      <c r="D20" s="21"/>
      <c r="E20" s="632">
        <f t="shared" si="0"/>
        <v>0</v>
      </c>
      <c r="F20" s="21"/>
      <c r="G20" s="433"/>
    </row>
    <row r="21" spans="1:7" ht="15" customHeight="1" hidden="1">
      <c r="A21" s="634" t="s">
        <v>18</v>
      </c>
      <c r="B21" s="635"/>
      <c r="C21" s="21"/>
      <c r="D21" s="21"/>
      <c r="E21" s="632">
        <f t="shared" si="0"/>
        <v>0</v>
      </c>
      <c r="F21" s="21"/>
      <c r="G21" s="433"/>
    </row>
    <row r="22" spans="1:7" ht="15" customHeight="1" hidden="1">
      <c r="A22" s="634" t="s">
        <v>19</v>
      </c>
      <c r="B22" s="635"/>
      <c r="C22" s="21"/>
      <c r="D22" s="21"/>
      <c r="E22" s="632">
        <f t="shared" si="0"/>
        <v>0</v>
      </c>
      <c r="F22" s="21"/>
      <c r="G22" s="433"/>
    </row>
    <row r="23" spans="1:7" ht="15" customHeight="1" hidden="1">
      <c r="A23" s="634" t="s">
        <v>20</v>
      </c>
      <c r="B23" s="635"/>
      <c r="C23" s="21"/>
      <c r="D23" s="21"/>
      <c r="E23" s="632">
        <f t="shared" si="0"/>
        <v>0</v>
      </c>
      <c r="F23" s="21"/>
      <c r="G23" s="433"/>
    </row>
    <row r="24" spans="1:7" ht="15" customHeight="1" hidden="1">
      <c r="A24" s="634" t="s">
        <v>21</v>
      </c>
      <c r="B24" s="635"/>
      <c r="C24" s="21"/>
      <c r="D24" s="21"/>
      <c r="E24" s="632">
        <f t="shared" si="0"/>
        <v>0</v>
      </c>
      <c r="F24" s="21"/>
      <c r="G24" s="433"/>
    </row>
    <row r="25" spans="1:7" ht="15" customHeight="1" hidden="1">
      <c r="A25" s="634" t="s">
        <v>22</v>
      </c>
      <c r="B25" s="635"/>
      <c r="C25" s="21"/>
      <c r="D25" s="21"/>
      <c r="E25" s="632">
        <f t="shared" si="0"/>
        <v>0</v>
      </c>
      <c r="F25" s="21"/>
      <c r="G25" s="433"/>
    </row>
    <row r="26" spans="1:7" ht="15" customHeight="1" hidden="1">
      <c r="A26" s="634" t="s">
        <v>23</v>
      </c>
      <c r="B26" s="635"/>
      <c r="C26" s="21"/>
      <c r="D26" s="21"/>
      <c r="E26" s="632">
        <f t="shared" si="0"/>
        <v>0</v>
      </c>
      <c r="F26" s="21"/>
      <c r="G26" s="433"/>
    </row>
    <row r="27" spans="1:7" ht="15" customHeight="1" hidden="1">
      <c r="A27" s="634" t="s">
        <v>24</v>
      </c>
      <c r="B27" s="635"/>
      <c r="C27" s="21"/>
      <c r="D27" s="21"/>
      <c r="E27" s="632">
        <f t="shared" si="0"/>
        <v>0</v>
      </c>
      <c r="F27" s="21"/>
      <c r="G27" s="433"/>
    </row>
    <row r="28" spans="1:7" ht="15" customHeight="1" hidden="1">
      <c r="A28" s="634" t="s">
        <v>25</v>
      </c>
      <c r="B28" s="635"/>
      <c r="C28" s="21"/>
      <c r="D28" s="21"/>
      <c r="E28" s="632">
        <f t="shared" si="0"/>
        <v>0</v>
      </c>
      <c r="F28" s="21"/>
      <c r="G28" s="433"/>
    </row>
    <row r="29" spans="1:7" ht="15" customHeight="1" hidden="1">
      <c r="A29" s="634" t="s">
        <v>26</v>
      </c>
      <c r="B29" s="635"/>
      <c r="C29" s="21"/>
      <c r="D29" s="21"/>
      <c r="E29" s="632">
        <f t="shared" si="0"/>
        <v>0</v>
      </c>
      <c r="F29" s="21"/>
      <c r="G29" s="433"/>
    </row>
    <row r="30" spans="1:7" ht="15" customHeight="1" hidden="1">
      <c r="A30" s="634" t="s">
        <v>27</v>
      </c>
      <c r="B30" s="635"/>
      <c r="C30" s="21"/>
      <c r="D30" s="21"/>
      <c r="E30" s="632">
        <f t="shared" si="0"/>
        <v>0</v>
      </c>
      <c r="F30" s="21"/>
      <c r="G30" s="433"/>
    </row>
    <row r="31" spans="1:7" ht="15" customHeight="1" hidden="1">
      <c r="A31" s="634" t="s">
        <v>28</v>
      </c>
      <c r="B31" s="635"/>
      <c r="C31" s="21"/>
      <c r="D31" s="21"/>
      <c r="E31" s="632">
        <f t="shared" si="0"/>
        <v>0</v>
      </c>
      <c r="F31" s="21"/>
      <c r="G31" s="433"/>
    </row>
    <row r="32" spans="1:7" ht="15" customHeight="1" hidden="1">
      <c r="A32" s="634" t="s">
        <v>29</v>
      </c>
      <c r="B32" s="635"/>
      <c r="C32" s="21"/>
      <c r="D32" s="21"/>
      <c r="E32" s="632">
        <f t="shared" si="0"/>
        <v>0</v>
      </c>
      <c r="F32" s="21"/>
      <c r="G32" s="433"/>
    </row>
    <row r="33" spans="1:7" ht="15" customHeight="1" hidden="1">
      <c r="A33" s="634" t="s">
        <v>30</v>
      </c>
      <c r="B33" s="635"/>
      <c r="C33" s="21"/>
      <c r="D33" s="21"/>
      <c r="E33" s="632">
        <f t="shared" si="0"/>
        <v>0</v>
      </c>
      <c r="F33" s="21"/>
      <c r="G33" s="433"/>
    </row>
    <row r="34" spans="1:7" ht="15" customHeight="1" hidden="1">
      <c r="A34" s="634" t="s">
        <v>31</v>
      </c>
      <c r="B34" s="635"/>
      <c r="C34" s="21"/>
      <c r="D34" s="21"/>
      <c r="E34" s="632"/>
      <c r="F34" s="21"/>
      <c r="G34" s="433"/>
    </row>
    <row r="35" spans="1:7" ht="15" customHeight="1" hidden="1">
      <c r="A35" s="634" t="s">
        <v>32</v>
      </c>
      <c r="B35" s="635"/>
      <c r="C35" s="21"/>
      <c r="D35" s="21"/>
      <c r="E35" s="632">
        <f t="shared" si="0"/>
        <v>0</v>
      </c>
      <c r="F35" s="21"/>
      <c r="G35" s="433"/>
    </row>
    <row r="36" spans="1:7" ht="15" customHeight="1" hidden="1">
      <c r="A36" s="634" t="s">
        <v>33</v>
      </c>
      <c r="B36" s="635"/>
      <c r="C36" s="21"/>
      <c r="D36" s="21"/>
      <c r="E36" s="632">
        <f t="shared" si="0"/>
        <v>0</v>
      </c>
      <c r="F36" s="21"/>
      <c r="G36" s="433"/>
    </row>
    <row r="37" spans="1:7" ht="15" customHeight="1" hidden="1">
      <c r="A37" s="634" t="s">
        <v>553</v>
      </c>
      <c r="B37" s="635"/>
      <c r="C37" s="21"/>
      <c r="D37" s="21"/>
      <c r="E37" s="632">
        <f t="shared" si="0"/>
        <v>0</v>
      </c>
      <c r="F37" s="21"/>
      <c r="G37" s="433"/>
    </row>
    <row r="38" spans="1:7" ht="15" customHeight="1" hidden="1">
      <c r="A38" s="634" t="s">
        <v>554</v>
      </c>
      <c r="B38" s="635"/>
      <c r="C38" s="21"/>
      <c r="D38" s="21"/>
      <c r="E38" s="632">
        <f t="shared" si="0"/>
        <v>0</v>
      </c>
      <c r="F38" s="21"/>
      <c r="G38" s="433"/>
    </row>
    <row r="39" spans="1:7" ht="15" customHeight="1" hidden="1" thickBot="1">
      <c r="A39" s="634" t="s">
        <v>555</v>
      </c>
      <c r="B39" s="636"/>
      <c r="C39" s="22"/>
      <c r="D39" s="22"/>
      <c r="E39" s="632">
        <f t="shared" si="0"/>
        <v>0</v>
      </c>
      <c r="F39" s="22"/>
      <c r="G39" s="637"/>
    </row>
    <row r="40" spans="1:7" ht="15" customHeight="1" thickBot="1">
      <c r="A40" s="813" t="s">
        <v>38</v>
      </c>
      <c r="B40" s="814"/>
      <c r="C40" s="35">
        <f>SUM(C9:C39)</f>
        <v>179407273</v>
      </c>
      <c r="D40" s="35">
        <f>SUM(D9:D39)</f>
        <v>0</v>
      </c>
      <c r="E40" s="35">
        <f>SUM(E9:E39)</f>
        <v>179407273</v>
      </c>
      <c r="F40" s="35">
        <f>SUM(F9:F39)</f>
        <v>172164347</v>
      </c>
      <c r="G40" s="36">
        <f>SUM(G9:G39)</f>
        <v>7242926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7"/>
  <sheetViews>
    <sheetView zoomScale="120" zoomScaleNormal="120" zoomScalePageLayoutView="120" workbookViewId="0" topLeftCell="A1">
      <selection activeCell="B2" sqref="B2:D2"/>
    </sheetView>
  </sheetViews>
  <sheetFormatPr defaultColWidth="9.375" defaultRowHeight="12.75"/>
  <cols>
    <col min="1" max="1" width="13.75390625" style="31" customWidth="1"/>
    <col min="2" max="2" width="88.625" style="31" customWidth="1"/>
    <col min="3" max="5" width="15.75390625" style="31" customWidth="1"/>
    <col min="6" max="6" width="4.75390625" style="624" customWidth="1"/>
    <col min="7" max="7" width="9.375" style="31" customWidth="1"/>
    <col min="8" max="8" width="13.75390625" style="31" customWidth="1"/>
    <col min="9" max="16384" width="9.375" style="31" customWidth="1"/>
  </cols>
  <sheetData>
    <row r="1" spans="2:6" ht="47.25" customHeight="1">
      <c r="B1" s="825" t="s">
        <v>938</v>
      </c>
      <c r="C1" s="825"/>
      <c r="D1" s="825"/>
      <c r="E1" s="825"/>
      <c r="F1" s="826" t="str">
        <f>CONCATENATE("8. melléklet ",Z_ALAPADATOK!A7," ",Z_ALAPADATOK!B7," ",Z_ALAPADATOK!C7," ",Z_ALAPADATOK!D7," ",Z_ALAPADATOK!E7," ",Z_ALAPADATOK!F7," ",Z_ALAPADATOK!G7," ",Z_ALAPADATOK!H7)</f>
        <v>8. melléklet a … / 2020. ( … ) önkormányzati rendelethez</v>
      </c>
    </row>
    <row r="2" spans="2:6" ht="22.5" customHeight="1" thickBot="1">
      <c r="B2" s="827"/>
      <c r="C2" s="827"/>
      <c r="D2" s="827"/>
      <c r="E2" s="605" t="s">
        <v>778</v>
      </c>
      <c r="F2" s="826"/>
    </row>
    <row r="3" spans="1:6" s="32" customFormat="1" ht="54" customHeight="1" thickBot="1">
      <c r="A3" s="606" t="s">
        <v>795</v>
      </c>
      <c r="B3" s="607" t="s">
        <v>779</v>
      </c>
      <c r="C3" s="608" t="str">
        <f>+CONCATENATE(Z_ALAPADATOK!B1,". évi tervezett támogatás összesen")</f>
        <v>2019. évi tervezett támogatás összesen</v>
      </c>
      <c r="D3" s="608" t="s">
        <v>780</v>
      </c>
      <c r="E3" s="609" t="s">
        <v>781</v>
      </c>
      <c r="F3" s="826"/>
    </row>
    <row r="4" spans="1:6" s="614" customFormat="1" ht="13.5" thickBot="1">
      <c r="A4" s="610" t="s">
        <v>381</v>
      </c>
      <c r="B4" s="611" t="s">
        <v>382</v>
      </c>
      <c r="C4" s="612" t="s">
        <v>383</v>
      </c>
      <c r="D4" s="612" t="s">
        <v>385</v>
      </c>
      <c r="E4" s="613" t="s">
        <v>384</v>
      </c>
      <c r="F4" s="826"/>
    </row>
    <row r="5" spans="1:6" ht="12.75">
      <c r="A5" s="692" t="s">
        <v>863</v>
      </c>
      <c r="B5" s="693" t="s">
        <v>864</v>
      </c>
      <c r="C5" s="701"/>
      <c r="D5" s="701"/>
      <c r="E5" s="701"/>
      <c r="F5" s="826"/>
    </row>
    <row r="6" spans="1:6" ht="12.75" customHeight="1">
      <c r="A6" s="694" t="s">
        <v>865</v>
      </c>
      <c r="B6" s="695" t="s">
        <v>866</v>
      </c>
      <c r="C6" s="701">
        <v>6270760</v>
      </c>
      <c r="D6" s="701">
        <v>6270760</v>
      </c>
      <c r="E6" s="701">
        <v>6270760</v>
      </c>
      <c r="F6" s="826"/>
    </row>
    <row r="7" spans="1:6" ht="12.75">
      <c r="A7" s="694"/>
      <c r="B7" s="695" t="s">
        <v>867</v>
      </c>
      <c r="C7" s="701">
        <v>-2500051</v>
      </c>
      <c r="D7" s="701">
        <v>-2500051</v>
      </c>
      <c r="E7" s="701">
        <v>-2500051</v>
      </c>
      <c r="F7" s="826"/>
    </row>
    <row r="8" spans="1:6" ht="12.75">
      <c r="A8" s="694" t="s">
        <v>868</v>
      </c>
      <c r="B8" s="695" t="s">
        <v>869</v>
      </c>
      <c r="C8" s="701">
        <v>11808000</v>
      </c>
      <c r="D8" s="701">
        <v>11808000</v>
      </c>
      <c r="E8" s="701">
        <v>11808000</v>
      </c>
      <c r="F8" s="826"/>
    </row>
    <row r="9" spans="1:6" ht="12.75">
      <c r="A9" s="694" t="s">
        <v>870</v>
      </c>
      <c r="B9" s="695" t="s">
        <v>871</v>
      </c>
      <c r="C9" s="701">
        <v>100000</v>
      </c>
      <c r="D9" s="701">
        <v>100000</v>
      </c>
      <c r="E9" s="701">
        <v>100000</v>
      </c>
      <c r="F9" s="826"/>
    </row>
    <row r="10" spans="1:6" ht="12.75">
      <c r="A10" s="694" t="s">
        <v>872</v>
      </c>
      <c r="B10" s="695" t="s">
        <v>873</v>
      </c>
      <c r="C10" s="701">
        <v>5105230</v>
      </c>
      <c r="D10" s="701">
        <v>5105230</v>
      </c>
      <c r="E10" s="701">
        <v>5105230</v>
      </c>
      <c r="F10" s="826"/>
    </row>
    <row r="11" spans="1:6" ht="12.75">
      <c r="A11" s="694"/>
      <c r="B11" s="695" t="s">
        <v>37</v>
      </c>
      <c r="C11" s="702">
        <f>SUM(C6:C10)</f>
        <v>20783939</v>
      </c>
      <c r="D11" s="702">
        <f>SUM(D6:D10)</f>
        <v>20783939</v>
      </c>
      <c r="E11" s="702">
        <f>SUM(E6:E10)</f>
        <v>20783939</v>
      </c>
      <c r="F11" s="826"/>
    </row>
    <row r="12" spans="1:6" ht="12.75">
      <c r="A12" s="696"/>
      <c r="B12" s="692" t="s">
        <v>874</v>
      </c>
      <c r="C12" s="703">
        <f>SUM(C11:C11)</f>
        <v>20783939</v>
      </c>
      <c r="D12" s="703">
        <f>SUM(D11:D11)</f>
        <v>20783939</v>
      </c>
      <c r="E12" s="703">
        <f>SUM(E11:E11)</f>
        <v>20783939</v>
      </c>
      <c r="F12" s="826"/>
    </row>
    <row r="13" spans="1:6" ht="12.75" customHeight="1">
      <c r="A13" s="696"/>
      <c r="B13" s="692"/>
      <c r="C13" s="701"/>
      <c r="D13" s="701"/>
      <c r="E13" s="701"/>
      <c r="F13" s="826"/>
    </row>
    <row r="14" spans="1:6" ht="12.75">
      <c r="A14" s="694" t="s">
        <v>875</v>
      </c>
      <c r="B14" s="695" t="s">
        <v>876</v>
      </c>
      <c r="C14" s="701">
        <v>6000000</v>
      </c>
      <c r="D14" s="701">
        <v>6000000</v>
      </c>
      <c r="E14" s="701">
        <v>6000000</v>
      </c>
      <c r="F14" s="826"/>
    </row>
    <row r="15" spans="1:6" ht="12.75">
      <c r="A15" s="694"/>
      <c r="B15" s="695" t="s">
        <v>877</v>
      </c>
      <c r="C15" s="701">
        <v>-6000000</v>
      </c>
      <c r="D15" s="701">
        <v>-6000000</v>
      </c>
      <c r="E15" s="701">
        <v>-6000000</v>
      </c>
      <c r="F15" s="826"/>
    </row>
    <row r="16" spans="1:6" ht="12.75">
      <c r="A16" s="694"/>
      <c r="B16" s="692" t="s">
        <v>878</v>
      </c>
      <c r="C16" s="703">
        <f>C14+C15</f>
        <v>0</v>
      </c>
      <c r="D16" s="703">
        <f>D14+D15</f>
        <v>0</v>
      </c>
      <c r="E16" s="703">
        <f>E14+E15</f>
        <v>0</v>
      </c>
      <c r="F16" s="826"/>
    </row>
    <row r="17" spans="1:6" ht="12.75">
      <c r="A17" s="694"/>
      <c r="B17" s="695"/>
      <c r="C17" s="701"/>
      <c r="D17" s="701"/>
      <c r="E17" s="701"/>
      <c r="F17" s="826"/>
    </row>
    <row r="18" spans="1:6" ht="12.75">
      <c r="A18" s="694" t="s">
        <v>879</v>
      </c>
      <c r="B18" s="695" t="s">
        <v>880</v>
      </c>
      <c r="C18" s="701">
        <v>298350</v>
      </c>
      <c r="D18" s="701">
        <v>298350</v>
      </c>
      <c r="E18" s="701">
        <v>298350</v>
      </c>
      <c r="F18" s="826"/>
    </row>
    <row r="19" spans="1:6" ht="12.75">
      <c r="A19" s="694"/>
      <c r="B19" s="695" t="s">
        <v>877</v>
      </c>
      <c r="C19" s="701">
        <v>-298350</v>
      </c>
      <c r="D19" s="701">
        <v>-298350</v>
      </c>
      <c r="E19" s="701">
        <v>-298350</v>
      </c>
      <c r="F19" s="826"/>
    </row>
    <row r="20" spans="1:6" ht="12.75">
      <c r="A20" s="694"/>
      <c r="B20" s="692" t="s">
        <v>881</v>
      </c>
      <c r="C20" s="704">
        <f>SUM(C18:C19)</f>
        <v>0</v>
      </c>
      <c r="D20" s="704">
        <f>SUM(D18:D19)</f>
        <v>0</v>
      </c>
      <c r="E20" s="704">
        <f>SUM(E18:E19)</f>
        <v>0</v>
      </c>
      <c r="F20" s="826"/>
    </row>
    <row r="21" spans="1:6" ht="12.75">
      <c r="A21" s="694"/>
      <c r="B21" s="695"/>
      <c r="C21" s="701"/>
      <c r="D21" s="701"/>
      <c r="E21" s="701"/>
      <c r="F21" s="826"/>
    </row>
    <row r="22" spans="1:6" ht="12.75">
      <c r="A22" s="694" t="s">
        <v>882</v>
      </c>
      <c r="B22" s="695" t="s">
        <v>883</v>
      </c>
      <c r="C22" s="701">
        <v>19474200</v>
      </c>
      <c r="D22" s="701">
        <v>19474200</v>
      </c>
      <c r="E22" s="701">
        <v>19474200</v>
      </c>
      <c r="F22" s="826"/>
    </row>
    <row r="23" spans="1:6" ht="12.75">
      <c r="A23" s="694"/>
      <c r="B23" s="695" t="s">
        <v>877</v>
      </c>
      <c r="C23" s="701">
        <v>0</v>
      </c>
      <c r="D23" s="701">
        <v>0</v>
      </c>
      <c r="E23" s="701">
        <v>0</v>
      </c>
      <c r="F23" s="826"/>
    </row>
    <row r="24" spans="1:6" ht="12.75">
      <c r="A24" s="694"/>
      <c r="B24" s="692" t="s">
        <v>884</v>
      </c>
      <c r="C24" s="703">
        <f>SUM(C22:C23)</f>
        <v>19474200</v>
      </c>
      <c r="D24" s="703">
        <f>SUM(D22:D23)</f>
        <v>19474200</v>
      </c>
      <c r="E24" s="703">
        <f>SUM(E22:E23)</f>
        <v>19474200</v>
      </c>
      <c r="F24" s="826"/>
    </row>
    <row r="25" spans="1:6" ht="12.75">
      <c r="A25" s="694" t="s">
        <v>885</v>
      </c>
      <c r="B25" s="695" t="s">
        <v>886</v>
      </c>
      <c r="C25" s="701">
        <v>560300</v>
      </c>
      <c r="D25" s="701">
        <v>560300</v>
      </c>
      <c r="E25" s="701">
        <v>560300</v>
      </c>
      <c r="F25" s="826"/>
    </row>
    <row r="26" spans="1:6" ht="12.75">
      <c r="A26" s="696" t="s">
        <v>863</v>
      </c>
      <c r="B26" s="692" t="s">
        <v>864</v>
      </c>
      <c r="C26" s="703">
        <f>SUM(C12+C16+C20+C24+C25)</f>
        <v>40818439</v>
      </c>
      <c r="D26" s="703">
        <f>SUM(D12+D16+D20+D24+D25)</f>
        <v>40818439</v>
      </c>
      <c r="E26" s="703">
        <f>SUM(E12+E16+E20+E24+E25)</f>
        <v>40818439</v>
      </c>
      <c r="F26" s="826"/>
    </row>
    <row r="27" spans="1:6" ht="12.75">
      <c r="A27" s="694"/>
      <c r="B27" s="695" t="s">
        <v>877</v>
      </c>
      <c r="C27" s="701">
        <v>8798401</v>
      </c>
      <c r="D27" s="701">
        <v>8798401</v>
      </c>
      <c r="E27" s="701">
        <v>8798401</v>
      </c>
      <c r="F27" s="826"/>
    </row>
    <row r="28" spans="1:6" ht="12.75">
      <c r="A28" s="694"/>
      <c r="B28" s="695"/>
      <c r="C28" s="701"/>
      <c r="D28" s="701"/>
      <c r="E28" s="701"/>
      <c r="F28" s="826"/>
    </row>
    <row r="29" spans="1:6" ht="12.75">
      <c r="A29" s="694"/>
      <c r="B29" s="695"/>
      <c r="C29" s="701"/>
      <c r="D29" s="701"/>
      <c r="E29" s="701"/>
      <c r="F29" s="826"/>
    </row>
    <row r="30" spans="1:6" ht="12.75">
      <c r="A30" s="694"/>
      <c r="B30" s="695"/>
      <c r="C30" s="701"/>
      <c r="D30" s="701"/>
      <c r="E30" s="701"/>
      <c r="F30" s="826"/>
    </row>
    <row r="31" spans="1:6" ht="12.75">
      <c r="A31" s="694" t="s">
        <v>887</v>
      </c>
      <c r="B31" s="695" t="s">
        <v>888</v>
      </c>
      <c r="C31" s="701"/>
      <c r="D31" s="701"/>
      <c r="E31" s="701"/>
      <c r="F31" s="826"/>
    </row>
    <row r="32" spans="1:6" ht="12.75">
      <c r="A32" s="694" t="s">
        <v>6</v>
      </c>
      <c r="B32" s="695" t="s">
        <v>889</v>
      </c>
      <c r="C32" s="701">
        <v>21325967</v>
      </c>
      <c r="D32" s="701">
        <v>21325967</v>
      </c>
      <c r="E32" s="701">
        <v>21325967</v>
      </c>
      <c r="F32" s="826"/>
    </row>
    <row r="33" spans="1:6" ht="12.75">
      <c r="A33" s="694"/>
      <c r="B33" s="695" t="s">
        <v>890</v>
      </c>
      <c r="C33" s="701">
        <v>10371550</v>
      </c>
      <c r="D33" s="701">
        <v>10371550</v>
      </c>
      <c r="E33" s="701">
        <v>10371550</v>
      </c>
      <c r="F33" s="826"/>
    </row>
    <row r="34" spans="1:6" ht="12.75">
      <c r="A34" s="694" t="s">
        <v>7</v>
      </c>
      <c r="B34" s="697" t="s">
        <v>891</v>
      </c>
      <c r="C34" s="701">
        <v>3506400</v>
      </c>
      <c r="D34" s="701">
        <v>3506400</v>
      </c>
      <c r="E34" s="701">
        <v>3506400</v>
      </c>
      <c r="F34" s="826"/>
    </row>
    <row r="35" spans="1:6" ht="12.75">
      <c r="A35" s="694"/>
      <c r="B35" s="697" t="s">
        <v>892</v>
      </c>
      <c r="C35" s="701">
        <v>1655800</v>
      </c>
      <c r="D35" s="701">
        <v>1655800</v>
      </c>
      <c r="E35" s="701">
        <v>1655800</v>
      </c>
      <c r="F35" s="826"/>
    </row>
    <row r="36" spans="1:6" ht="12.75">
      <c r="A36" s="692" t="s">
        <v>887</v>
      </c>
      <c r="B36" s="692" t="s">
        <v>893</v>
      </c>
      <c r="C36" s="703">
        <f>SUM(C32:C35)</f>
        <v>36859717</v>
      </c>
      <c r="D36" s="703">
        <f>SUM(D32:D35)</f>
        <v>36859717</v>
      </c>
      <c r="E36" s="703">
        <f>SUM(E32:E35)</f>
        <v>36859717</v>
      </c>
      <c r="F36" s="826"/>
    </row>
    <row r="37" spans="1:6" ht="12.75">
      <c r="A37" s="695"/>
      <c r="B37" s="695"/>
      <c r="C37" s="701"/>
      <c r="D37" s="701"/>
      <c r="E37" s="701"/>
      <c r="F37" s="826"/>
    </row>
    <row r="38" spans="1:6" ht="12.75">
      <c r="A38" s="695" t="s">
        <v>894</v>
      </c>
      <c r="B38" s="698" t="s">
        <v>895</v>
      </c>
      <c r="C38" s="701"/>
      <c r="D38" s="701"/>
      <c r="E38" s="701"/>
      <c r="F38" s="826"/>
    </row>
    <row r="39" spans="1:6" ht="12.75">
      <c r="A39" s="695"/>
      <c r="B39" s="692"/>
      <c r="C39" s="701"/>
      <c r="D39" s="701"/>
      <c r="E39" s="701"/>
      <c r="F39" s="826"/>
    </row>
    <row r="40" spans="1:6" ht="12.75">
      <c r="A40" s="695" t="s">
        <v>7</v>
      </c>
      <c r="B40" s="692" t="s">
        <v>896</v>
      </c>
      <c r="C40" s="706">
        <v>4733000</v>
      </c>
      <c r="D40" s="706">
        <v>4733000</v>
      </c>
      <c r="E40" s="706">
        <v>4733000</v>
      </c>
      <c r="F40" s="826"/>
    </row>
    <row r="41" spans="1:6" ht="12.75">
      <c r="A41" s="695" t="s">
        <v>8</v>
      </c>
      <c r="B41" s="692" t="s">
        <v>897</v>
      </c>
      <c r="C41" s="701"/>
      <c r="D41" s="701"/>
      <c r="E41" s="701"/>
      <c r="F41" s="826"/>
    </row>
    <row r="42" spans="1:6" ht="12.75">
      <c r="A42" s="695" t="s">
        <v>898</v>
      </c>
      <c r="B42" s="695" t="s">
        <v>899</v>
      </c>
      <c r="C42" s="701">
        <v>608960</v>
      </c>
      <c r="D42" s="701">
        <v>608960</v>
      </c>
      <c r="E42" s="701">
        <v>608960</v>
      </c>
      <c r="F42" s="826"/>
    </row>
    <row r="43" spans="1:6" ht="12.75">
      <c r="A43" s="695" t="s">
        <v>900</v>
      </c>
      <c r="B43" s="695" t="s">
        <v>901</v>
      </c>
      <c r="C43" s="701">
        <v>3100000</v>
      </c>
      <c r="D43" s="701">
        <v>3100000</v>
      </c>
      <c r="E43" s="701">
        <v>3100000</v>
      </c>
      <c r="F43" s="826"/>
    </row>
    <row r="44" spans="1:6" ht="12.75">
      <c r="A44" s="695" t="s">
        <v>902</v>
      </c>
      <c r="B44" s="695" t="s">
        <v>903</v>
      </c>
      <c r="C44" s="701"/>
      <c r="D44" s="701"/>
      <c r="E44" s="701"/>
      <c r="F44" s="826"/>
    </row>
    <row r="45" spans="1:6" ht="12.75">
      <c r="A45" s="695"/>
      <c r="B45" s="692" t="s">
        <v>38</v>
      </c>
      <c r="C45" s="703">
        <f>SUM(C42:C44)</f>
        <v>3708960</v>
      </c>
      <c r="D45" s="703">
        <f>SUM(D42:D44)</f>
        <v>3708960</v>
      </c>
      <c r="E45" s="703">
        <f>SUM(E42:E44)</f>
        <v>3708960</v>
      </c>
      <c r="F45" s="826"/>
    </row>
    <row r="46" spans="1:6" ht="12.75">
      <c r="A46" s="695"/>
      <c r="B46" s="692" t="s">
        <v>904</v>
      </c>
      <c r="C46" s="701"/>
      <c r="D46" s="701"/>
      <c r="E46" s="701"/>
      <c r="F46" s="826"/>
    </row>
    <row r="47" spans="1:6" ht="12.75">
      <c r="A47" s="695"/>
      <c r="B47" s="692"/>
      <c r="C47" s="701"/>
      <c r="D47" s="701"/>
      <c r="E47" s="701"/>
      <c r="F47" s="826"/>
    </row>
    <row r="48" spans="1:6" ht="12.75">
      <c r="A48" s="695" t="s">
        <v>10</v>
      </c>
      <c r="B48" s="692" t="s">
        <v>905</v>
      </c>
      <c r="C48" s="701"/>
      <c r="D48" s="701"/>
      <c r="E48" s="701"/>
      <c r="F48" s="826"/>
    </row>
    <row r="49" spans="1:6" ht="12.75">
      <c r="A49" s="695"/>
      <c r="B49" s="692" t="s">
        <v>906</v>
      </c>
      <c r="C49" s="701">
        <v>9823000</v>
      </c>
      <c r="D49" s="701">
        <v>9823000</v>
      </c>
      <c r="E49" s="701">
        <v>9823000</v>
      </c>
      <c r="F49" s="826"/>
    </row>
    <row r="50" spans="1:6" ht="12.75">
      <c r="A50" s="695"/>
      <c r="B50" s="692" t="s">
        <v>907</v>
      </c>
      <c r="C50" s="701">
        <v>17099890</v>
      </c>
      <c r="D50" s="701">
        <v>17099890</v>
      </c>
      <c r="E50" s="701">
        <v>17099890</v>
      </c>
      <c r="F50" s="826"/>
    </row>
    <row r="51" spans="1:6" ht="12.75">
      <c r="A51" s="695"/>
      <c r="B51" s="692" t="s">
        <v>908</v>
      </c>
      <c r="C51" s="701">
        <v>0</v>
      </c>
      <c r="D51" s="701">
        <v>0</v>
      </c>
      <c r="E51" s="701">
        <v>0</v>
      </c>
      <c r="F51" s="826"/>
    </row>
    <row r="52" spans="1:6" ht="12.75">
      <c r="A52" s="695"/>
      <c r="B52" s="692" t="s">
        <v>909</v>
      </c>
      <c r="C52" s="705">
        <f>SUM(C49:C51)</f>
        <v>26922890</v>
      </c>
      <c r="D52" s="705">
        <f>SUM(D49:D51)</f>
        <v>26922890</v>
      </c>
      <c r="E52" s="705">
        <f>SUM(E49:E51)</f>
        <v>26922890</v>
      </c>
      <c r="F52" s="826"/>
    </row>
    <row r="53" spans="1:6" ht="12.75">
      <c r="A53" s="695"/>
      <c r="B53" s="692"/>
      <c r="C53" s="701"/>
      <c r="D53" s="701"/>
      <c r="E53" s="701"/>
      <c r="F53" s="826"/>
    </row>
    <row r="54" spans="1:6" ht="12.75">
      <c r="A54" s="695" t="s">
        <v>894</v>
      </c>
      <c r="B54" s="698" t="s">
        <v>895</v>
      </c>
      <c r="C54" s="705">
        <f>SUM(C52+C45+C40)</f>
        <v>35364850</v>
      </c>
      <c r="D54" s="705">
        <f>SUM(D52+D45+D40)</f>
        <v>35364850</v>
      </c>
      <c r="E54" s="705">
        <f>SUM(E52+E45+E40)</f>
        <v>35364850</v>
      </c>
      <c r="F54" s="826"/>
    </row>
    <row r="55" spans="1:6" ht="12.75">
      <c r="A55" s="695"/>
      <c r="B55" s="692"/>
      <c r="C55" s="701"/>
      <c r="D55" s="701"/>
      <c r="E55" s="701"/>
      <c r="F55" s="826"/>
    </row>
    <row r="56" spans="1:6" ht="12.75">
      <c r="A56" s="692"/>
      <c r="B56" s="692" t="s">
        <v>910</v>
      </c>
      <c r="C56" s="703">
        <f>C54+C36+C26</f>
        <v>113043006</v>
      </c>
      <c r="D56" s="703">
        <f>D54+D36+D26</f>
        <v>113043006</v>
      </c>
      <c r="E56" s="703">
        <f>E54+E36+E26</f>
        <v>113043006</v>
      </c>
      <c r="F56" s="826"/>
    </row>
    <row r="57" spans="1:6" ht="12.75">
      <c r="A57" s="695"/>
      <c r="B57" s="695"/>
      <c r="C57" s="701"/>
      <c r="D57" s="701"/>
      <c r="E57" s="701"/>
      <c r="F57" s="826"/>
    </row>
    <row r="58" spans="1:6" ht="12.75">
      <c r="A58" s="695"/>
      <c r="B58" s="699" t="s">
        <v>911</v>
      </c>
      <c r="C58" s="701">
        <v>1800000</v>
      </c>
      <c r="D58" s="701">
        <v>1800000</v>
      </c>
      <c r="E58" s="701">
        <v>1800000</v>
      </c>
      <c r="F58" s="826"/>
    </row>
    <row r="59" spans="1:6" ht="12.75">
      <c r="A59" s="695"/>
      <c r="B59" s="700"/>
      <c r="C59" s="615"/>
      <c r="D59" s="615"/>
      <c r="E59" s="615"/>
      <c r="F59" s="826"/>
    </row>
    <row r="60" spans="1:8" ht="12.75">
      <c r="A60" s="616"/>
      <c r="B60" s="695" t="s">
        <v>912</v>
      </c>
      <c r="C60" s="703">
        <f>C56+C58</f>
        <v>114843006</v>
      </c>
      <c r="D60" s="703">
        <f>D56+D58</f>
        <v>114843006</v>
      </c>
      <c r="E60" s="703">
        <f>E56+E58</f>
        <v>114843006</v>
      </c>
      <c r="F60" s="826"/>
      <c r="H60" s="707"/>
    </row>
    <row r="61" spans="1:6" ht="12.75">
      <c r="A61" s="616"/>
      <c r="B61" s="617"/>
      <c r="C61" s="615"/>
      <c r="D61" s="615"/>
      <c r="E61" s="615"/>
      <c r="F61" s="826"/>
    </row>
    <row r="62" spans="1:6" ht="12.75">
      <c r="A62" s="616"/>
      <c r="B62" s="617"/>
      <c r="C62" s="615"/>
      <c r="D62" s="615"/>
      <c r="E62" s="615"/>
      <c r="F62" s="826"/>
    </row>
    <row r="63" spans="1:6" ht="12.75">
      <c r="A63" s="616"/>
      <c r="B63" s="617"/>
      <c r="C63" s="615"/>
      <c r="D63" s="615"/>
      <c r="E63" s="615"/>
      <c r="F63" s="826"/>
    </row>
    <row r="64" spans="1:6" ht="12.75">
      <c r="A64" s="616"/>
      <c r="B64" s="617"/>
      <c r="C64" s="615"/>
      <c r="D64" s="615"/>
      <c r="E64" s="615"/>
      <c r="F64" s="826"/>
    </row>
    <row r="65" spans="1:6" ht="13.5" thickBot="1">
      <c r="A65" s="618"/>
      <c r="B65" s="619"/>
      <c r="C65" s="615"/>
      <c r="D65" s="615"/>
      <c r="E65" s="615"/>
      <c r="F65" s="826"/>
    </row>
    <row r="66" spans="1:6" s="623" customFormat="1" ht="19.5" customHeight="1" thickBot="1">
      <c r="A66" s="620"/>
      <c r="B66" s="621" t="s">
        <v>38</v>
      </c>
      <c r="C66" s="622">
        <f>C60</f>
        <v>114843006</v>
      </c>
      <c r="D66" s="622">
        <f>D60</f>
        <v>114843006</v>
      </c>
      <c r="E66" s="622">
        <f>E60</f>
        <v>114843006</v>
      </c>
      <c r="F66" s="826"/>
    </row>
    <row r="67" spans="1:2" ht="12.75">
      <c r="A67" s="828" t="s">
        <v>913</v>
      </c>
      <c r="B67" s="828"/>
    </row>
  </sheetData>
  <sheetProtection/>
  <mergeCells count="4">
    <mergeCell ref="B1:E1"/>
    <mergeCell ref="F1:F66"/>
    <mergeCell ref="B2:D2"/>
    <mergeCell ref="A67:B6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zoomScale="120" zoomScaleNormal="120" zoomScaleSheetLayoutView="100" workbookViewId="0" topLeftCell="A4">
      <selection activeCell="G4" sqref="G1:T16384"/>
    </sheetView>
  </sheetViews>
  <sheetFormatPr defaultColWidth="9.375" defaultRowHeight="12.75"/>
  <cols>
    <col min="1" max="1" width="9.50390625" style="145" customWidth="1"/>
    <col min="2" max="2" width="65.75390625" style="145" customWidth="1"/>
    <col min="3" max="3" width="17.75390625" style="146" customWidth="1"/>
    <col min="4" max="6" width="17.75390625" style="167" customWidth="1"/>
    <col min="7" max="7" width="13.125" style="167" customWidth="1"/>
    <col min="8" max="8" width="12.375" style="167" customWidth="1"/>
    <col min="9" max="9" width="13.125" style="167" customWidth="1"/>
    <col min="10" max="16384" width="9.375" style="167" customWidth="1"/>
  </cols>
  <sheetData>
    <row r="1" spans="1:6" ht="15">
      <c r="A1" s="367"/>
      <c r="B1" s="756" t="str">
        <f>CONCATENATE("1. tájékoztató tábla ",Z_ALAPADATOK!A7," ",Z_ALAPADATOK!B7," ",Z_ALAPADATOK!C7," ",Z_ALAPADATOK!D7," ",Z_ALAPADATOK!E7," ",Z_ALAPADATOK!F7," ",Z_ALAPADATOK!G7," ",Z_ALAPADATOK!H7)</f>
        <v>1. tájékoztató tábla a … / 2020. ( … ) önkormányzati rendelethez</v>
      </c>
      <c r="C1" s="757"/>
      <c r="D1" s="757"/>
      <c r="E1" s="757"/>
      <c r="F1" s="644"/>
    </row>
    <row r="2" spans="1:6" ht="15">
      <c r="A2" s="758" t="str">
        <f>CONCATENATE(Z_ALAPADATOK!A3)</f>
        <v>Balatonvilágos Község Önkormányzata</v>
      </c>
      <c r="B2" s="759"/>
      <c r="C2" s="759"/>
      <c r="D2" s="759"/>
      <c r="E2" s="759"/>
      <c r="F2" s="646"/>
    </row>
    <row r="3" spans="1:6" ht="15">
      <c r="A3" s="758" t="s">
        <v>807</v>
      </c>
      <c r="B3" s="758"/>
      <c r="C3" s="760"/>
      <c r="D3" s="758"/>
      <c r="E3" s="758"/>
      <c r="F3" s="645"/>
    </row>
    <row r="4" spans="1:6" ht="12" customHeight="1">
      <c r="A4" s="758"/>
      <c r="B4" s="758"/>
      <c r="C4" s="760"/>
      <c r="D4" s="758"/>
      <c r="E4" s="758"/>
      <c r="F4" s="645"/>
    </row>
    <row r="5" spans="1:6" ht="15">
      <c r="A5" s="367"/>
      <c r="B5" s="367"/>
      <c r="C5" s="368"/>
      <c r="D5" s="369"/>
      <c r="E5" s="369"/>
      <c r="F5" s="369"/>
    </row>
    <row r="6" spans="1:6" ht="15.75" customHeight="1">
      <c r="A6" s="761" t="s">
        <v>3</v>
      </c>
      <c r="B6" s="761"/>
      <c r="C6" s="761"/>
      <c r="D6" s="761"/>
      <c r="E6" s="761"/>
      <c r="F6" s="642"/>
    </row>
    <row r="7" spans="1:6" ht="15.75" customHeight="1" thickBot="1">
      <c r="A7" s="762" t="s">
        <v>99</v>
      </c>
      <c r="B7" s="762"/>
      <c r="C7" s="370"/>
      <c r="D7" s="369"/>
      <c r="E7" s="370" t="s">
        <v>492</v>
      </c>
      <c r="F7" s="370"/>
    </row>
    <row r="8" spans="1:6" ht="1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  <c r="F8" s="647"/>
    </row>
    <row r="9" spans="1:6" ht="23.25" thickBot="1">
      <c r="A9" s="747"/>
      <c r="B9" s="749"/>
      <c r="C9" s="238" t="s">
        <v>414</v>
      </c>
      <c r="D9" s="237" t="s">
        <v>415</v>
      </c>
      <c r="E9" s="356" t="str">
        <f>+CONCATENATE(LEFT(Z_ÖSSZEFÜGGÉSEK!A6,4),". XII. 31.",CHAR(10),"teljesítés")</f>
        <v>2019. XII. 31.
teljesítés</v>
      </c>
      <c r="F9" s="648"/>
    </row>
    <row r="10" spans="1:6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  <c r="F10" s="649"/>
    </row>
    <row r="11" spans="1:6" s="169" customFormat="1" ht="12" customHeight="1" thickBot="1">
      <c r="A11" s="18" t="s">
        <v>6</v>
      </c>
      <c r="B11" s="19" t="s">
        <v>156</v>
      </c>
      <c r="C11" s="157">
        <f>+C12+C13+C14+C15+C16+C17</f>
        <v>114843006</v>
      </c>
      <c r="D11" s="157">
        <f>+D12+D13+D14+D15+D16+D17</f>
        <v>123109630</v>
      </c>
      <c r="E11" s="93">
        <f>+E12+E13+E14+E15+E16+E17</f>
        <v>123109630</v>
      </c>
      <c r="F11" s="650"/>
    </row>
    <row r="12" spans="1:6" s="169" customFormat="1" ht="12" customHeight="1">
      <c r="A12" s="13" t="s">
        <v>64</v>
      </c>
      <c r="B12" s="170" t="s">
        <v>157</v>
      </c>
      <c r="C12" s="159">
        <v>40818439</v>
      </c>
      <c r="D12" s="159">
        <v>42128995</v>
      </c>
      <c r="E12" s="95">
        <v>42128995</v>
      </c>
      <c r="F12" s="651"/>
    </row>
    <row r="13" spans="1:6" s="169" customFormat="1" ht="12" customHeight="1">
      <c r="A13" s="12" t="s">
        <v>65</v>
      </c>
      <c r="B13" s="171" t="s">
        <v>158</v>
      </c>
      <c r="C13" s="158">
        <v>36859717</v>
      </c>
      <c r="D13" s="158">
        <v>38563100</v>
      </c>
      <c r="E13" s="94">
        <v>38563100</v>
      </c>
      <c r="F13" s="651"/>
    </row>
    <row r="14" spans="1:6" s="169" customFormat="1" ht="12" customHeight="1">
      <c r="A14" s="12" t="s">
        <v>66</v>
      </c>
      <c r="B14" s="171" t="s">
        <v>159</v>
      </c>
      <c r="C14" s="158">
        <v>35364850</v>
      </c>
      <c r="D14" s="158">
        <v>28917785</v>
      </c>
      <c r="E14" s="94">
        <v>28917785</v>
      </c>
      <c r="F14" s="651"/>
    </row>
    <row r="15" spans="1:6" s="169" customFormat="1" ht="12" customHeight="1">
      <c r="A15" s="12" t="s">
        <v>67</v>
      </c>
      <c r="B15" s="171" t="s">
        <v>160</v>
      </c>
      <c r="C15" s="158">
        <v>1800000</v>
      </c>
      <c r="D15" s="158">
        <v>1808000</v>
      </c>
      <c r="E15" s="94">
        <v>1808000</v>
      </c>
      <c r="F15" s="651"/>
    </row>
    <row r="16" spans="1:6" s="169" customFormat="1" ht="12" customHeight="1">
      <c r="A16" s="12" t="s">
        <v>96</v>
      </c>
      <c r="B16" s="101" t="s">
        <v>329</v>
      </c>
      <c r="C16" s="158"/>
      <c r="D16" s="158">
        <v>11691750</v>
      </c>
      <c r="E16" s="94">
        <v>11691750</v>
      </c>
      <c r="F16" s="651"/>
    </row>
    <row r="17" spans="1:6" s="169" customFormat="1" ht="12" customHeight="1" thickBot="1">
      <c r="A17" s="14" t="s">
        <v>68</v>
      </c>
      <c r="B17" s="102" t="s">
        <v>330</v>
      </c>
      <c r="C17" s="158"/>
      <c r="D17" s="158"/>
      <c r="E17" s="94"/>
      <c r="F17" s="651"/>
    </row>
    <row r="18" spans="1:6" s="169" customFormat="1" ht="12" customHeight="1" thickBot="1">
      <c r="A18" s="18" t="s">
        <v>7</v>
      </c>
      <c r="B18" s="100" t="s">
        <v>161</v>
      </c>
      <c r="C18" s="157">
        <f>+C19+C20+C21+C22+C23</f>
        <v>17284914</v>
      </c>
      <c r="D18" s="157">
        <f>+D19+D20+D21+D22+D23</f>
        <v>20516737</v>
      </c>
      <c r="E18" s="93">
        <f>+E19+E20+E21+E22+E23</f>
        <v>21041960</v>
      </c>
      <c r="F18" s="650"/>
    </row>
    <row r="19" spans="1:6" s="169" customFormat="1" ht="12" customHeight="1">
      <c r="A19" s="13" t="s">
        <v>70</v>
      </c>
      <c r="B19" s="170" t="s">
        <v>162</v>
      </c>
      <c r="C19" s="159"/>
      <c r="D19" s="159"/>
      <c r="E19" s="95"/>
      <c r="F19" s="651"/>
    </row>
    <row r="20" spans="1:6" s="169" customFormat="1" ht="12" customHeight="1">
      <c r="A20" s="12" t="s">
        <v>71</v>
      </c>
      <c r="B20" s="171" t="s">
        <v>163</v>
      </c>
      <c r="C20" s="158"/>
      <c r="D20" s="158"/>
      <c r="E20" s="94"/>
      <c r="F20" s="651"/>
    </row>
    <row r="21" spans="1:6" s="169" customFormat="1" ht="12" customHeight="1">
      <c r="A21" s="12" t="s">
        <v>72</v>
      </c>
      <c r="B21" s="171" t="s">
        <v>321</v>
      </c>
      <c r="C21" s="158"/>
      <c r="D21" s="158"/>
      <c r="E21" s="94"/>
      <c r="F21" s="651"/>
    </row>
    <row r="22" spans="1:6" s="169" customFormat="1" ht="12" customHeight="1">
      <c r="A22" s="12" t="s">
        <v>73</v>
      </c>
      <c r="B22" s="171" t="s">
        <v>322</v>
      </c>
      <c r="C22" s="158"/>
      <c r="D22" s="158"/>
      <c r="E22" s="94"/>
      <c r="F22" s="651"/>
    </row>
    <row r="23" spans="1:6" s="169" customFormat="1" ht="12" customHeight="1">
      <c r="A23" s="12" t="s">
        <v>74</v>
      </c>
      <c r="B23" s="171" t="s">
        <v>164</v>
      </c>
      <c r="C23" s="158">
        <v>17284914</v>
      </c>
      <c r="D23" s="158">
        <v>20516737</v>
      </c>
      <c r="E23" s="94">
        <v>21041960</v>
      </c>
      <c r="F23" s="651"/>
    </row>
    <row r="24" spans="1:6" s="169" customFormat="1" ht="12" customHeight="1" thickBot="1">
      <c r="A24" s="14" t="s">
        <v>81</v>
      </c>
      <c r="B24" s="102" t="s">
        <v>165</v>
      </c>
      <c r="C24" s="160"/>
      <c r="D24" s="160"/>
      <c r="E24" s="96"/>
      <c r="F24" s="651"/>
    </row>
    <row r="25" spans="1:6" s="169" customFormat="1" ht="12" customHeight="1" thickBot="1">
      <c r="A25" s="18" t="s">
        <v>8</v>
      </c>
      <c r="B25" s="19" t="s">
        <v>166</v>
      </c>
      <c r="C25" s="157">
        <f>+C26+C27+C28+C29+C30</f>
        <v>145309282</v>
      </c>
      <c r="D25" s="157">
        <f>+D26+D27+D28+D29+D30</f>
        <v>108981962</v>
      </c>
      <c r="E25" s="93">
        <f>+E26+E27+E28+E29+E30</f>
        <v>112960973</v>
      </c>
      <c r="F25" s="650"/>
    </row>
    <row r="26" spans="1:6" s="169" customFormat="1" ht="12" customHeight="1">
      <c r="A26" s="13" t="s">
        <v>53</v>
      </c>
      <c r="B26" s="170" t="s">
        <v>167</v>
      </c>
      <c r="C26" s="159">
        <v>145309282</v>
      </c>
      <c r="D26" s="159">
        <v>108981962</v>
      </c>
      <c r="E26" s="95">
        <v>112960973</v>
      </c>
      <c r="F26" s="651"/>
    </row>
    <row r="27" spans="1:6" s="169" customFormat="1" ht="12" customHeight="1">
      <c r="A27" s="12" t="s">
        <v>54</v>
      </c>
      <c r="B27" s="171" t="s">
        <v>168</v>
      </c>
      <c r="C27" s="158"/>
      <c r="D27" s="158"/>
      <c r="E27" s="94"/>
      <c r="F27" s="651"/>
    </row>
    <row r="28" spans="1:6" s="169" customFormat="1" ht="12" customHeight="1">
      <c r="A28" s="12" t="s">
        <v>55</v>
      </c>
      <c r="B28" s="171" t="s">
        <v>323</v>
      </c>
      <c r="C28" s="158"/>
      <c r="D28" s="158"/>
      <c r="E28" s="94"/>
      <c r="F28" s="651"/>
    </row>
    <row r="29" spans="1:6" s="169" customFormat="1" ht="12" customHeight="1">
      <c r="A29" s="12" t="s">
        <v>56</v>
      </c>
      <c r="B29" s="171" t="s">
        <v>324</v>
      </c>
      <c r="C29" s="158"/>
      <c r="D29" s="158"/>
      <c r="E29" s="94"/>
      <c r="F29" s="651"/>
    </row>
    <row r="30" spans="1:6" s="169" customFormat="1" ht="12" customHeight="1">
      <c r="A30" s="12" t="s">
        <v>109</v>
      </c>
      <c r="B30" s="171" t="s">
        <v>169</v>
      </c>
      <c r="C30" s="158"/>
      <c r="D30" s="158"/>
      <c r="E30" s="94"/>
      <c r="F30" s="651"/>
    </row>
    <row r="31" spans="1:6" s="169" customFormat="1" ht="12" customHeight="1" thickBot="1">
      <c r="A31" s="14" t="s">
        <v>110</v>
      </c>
      <c r="B31" s="172" t="s">
        <v>170</v>
      </c>
      <c r="C31" s="160"/>
      <c r="D31" s="160"/>
      <c r="E31" s="96"/>
      <c r="F31" s="651"/>
    </row>
    <row r="32" spans="1:6" s="169" customFormat="1" ht="12" customHeight="1" thickBot="1">
      <c r="A32" s="18" t="s">
        <v>111</v>
      </c>
      <c r="B32" s="19" t="s">
        <v>480</v>
      </c>
      <c r="C32" s="163">
        <f>SUM(C33:C39)</f>
        <v>197329000</v>
      </c>
      <c r="D32" s="163">
        <f>SUM(D33:D39)</f>
        <v>222693906</v>
      </c>
      <c r="E32" s="199">
        <f>SUM(E33:E39)</f>
        <v>221476906</v>
      </c>
      <c r="F32" s="652"/>
    </row>
    <row r="33" spans="1:6" s="169" customFormat="1" ht="12" customHeight="1">
      <c r="A33" s="13" t="s">
        <v>171</v>
      </c>
      <c r="B33" s="170" t="s">
        <v>481</v>
      </c>
      <c r="C33" s="159">
        <v>138679000</v>
      </c>
      <c r="D33" s="159">
        <v>145140467</v>
      </c>
      <c r="E33" s="95">
        <v>145140467</v>
      </c>
      <c r="F33" s="651"/>
    </row>
    <row r="34" spans="1:6" s="169" customFormat="1" ht="12" customHeight="1">
      <c r="A34" s="12" t="s">
        <v>172</v>
      </c>
      <c r="B34" s="171" t="s">
        <v>482</v>
      </c>
      <c r="C34" s="158">
        <v>19000000</v>
      </c>
      <c r="D34" s="158">
        <v>19000000</v>
      </c>
      <c r="E34" s="94">
        <v>17692000</v>
      </c>
      <c r="F34" s="651"/>
    </row>
    <row r="35" spans="1:6" s="169" customFormat="1" ht="12" customHeight="1">
      <c r="A35" s="12" t="s">
        <v>173</v>
      </c>
      <c r="B35" s="171" t="s">
        <v>483</v>
      </c>
      <c r="C35" s="158">
        <v>35000000</v>
      </c>
      <c r="D35" s="158">
        <v>51045335</v>
      </c>
      <c r="E35" s="94">
        <v>51045335</v>
      </c>
      <c r="F35" s="651"/>
    </row>
    <row r="36" spans="1:6" s="169" customFormat="1" ht="12" customHeight="1">
      <c r="A36" s="12" t="s">
        <v>174</v>
      </c>
      <c r="B36" s="171" t="s">
        <v>484</v>
      </c>
      <c r="C36" s="158"/>
      <c r="D36" s="158"/>
      <c r="E36" s="94"/>
      <c r="F36" s="651"/>
    </row>
    <row r="37" spans="1:6" s="169" customFormat="1" ht="12" customHeight="1">
      <c r="A37" s="12" t="s">
        <v>485</v>
      </c>
      <c r="B37" s="171" t="s">
        <v>175</v>
      </c>
      <c r="C37" s="158">
        <v>4000000</v>
      </c>
      <c r="D37" s="158">
        <v>5897111</v>
      </c>
      <c r="E37" s="94">
        <v>5897111</v>
      </c>
      <c r="F37" s="651"/>
    </row>
    <row r="38" spans="1:6" s="169" customFormat="1" ht="12" customHeight="1">
      <c r="A38" s="12" t="s">
        <v>486</v>
      </c>
      <c r="B38" s="171" t="s">
        <v>176</v>
      </c>
      <c r="C38" s="158"/>
      <c r="D38" s="158"/>
      <c r="E38" s="94"/>
      <c r="F38" s="651"/>
    </row>
    <row r="39" spans="1:6" s="169" customFormat="1" ht="12" customHeight="1" thickBot="1">
      <c r="A39" s="14" t="s">
        <v>487</v>
      </c>
      <c r="B39" s="317" t="s">
        <v>177</v>
      </c>
      <c r="C39" s="160">
        <v>650000</v>
      </c>
      <c r="D39" s="160">
        <v>1610993</v>
      </c>
      <c r="E39" s="96">
        <v>1701993</v>
      </c>
      <c r="F39" s="651"/>
    </row>
    <row r="40" spans="1:6" s="169" customFormat="1" ht="12" customHeight="1" thickBot="1">
      <c r="A40" s="18" t="s">
        <v>10</v>
      </c>
      <c r="B40" s="19" t="s">
        <v>331</v>
      </c>
      <c r="C40" s="157">
        <f>SUM(C41:C51)</f>
        <v>54566909</v>
      </c>
      <c r="D40" s="157">
        <f>SUM(D41:D51)</f>
        <v>59609666</v>
      </c>
      <c r="E40" s="93">
        <f>SUM(E41:E51)</f>
        <v>50774575</v>
      </c>
      <c r="F40" s="650"/>
    </row>
    <row r="41" spans="1:6" s="169" customFormat="1" ht="12" customHeight="1">
      <c r="A41" s="13" t="s">
        <v>57</v>
      </c>
      <c r="B41" s="170" t="s">
        <v>180</v>
      </c>
      <c r="C41" s="159"/>
      <c r="D41" s="159"/>
      <c r="E41" s="95">
        <v>99000</v>
      </c>
      <c r="F41" s="651"/>
    </row>
    <row r="42" spans="1:6" s="169" customFormat="1" ht="12" customHeight="1">
      <c r="A42" s="12" t="s">
        <v>58</v>
      </c>
      <c r="B42" s="171" t="s">
        <v>181</v>
      </c>
      <c r="C42" s="158">
        <v>23672911</v>
      </c>
      <c r="D42" s="158">
        <v>23672911</v>
      </c>
      <c r="E42" s="94">
        <v>20290850</v>
      </c>
      <c r="F42" s="651"/>
    </row>
    <row r="43" spans="1:6" s="169" customFormat="1" ht="12" customHeight="1">
      <c r="A43" s="12" t="s">
        <v>59</v>
      </c>
      <c r="B43" s="171" t="s">
        <v>182</v>
      </c>
      <c r="C43" s="158">
        <v>6302684</v>
      </c>
      <c r="D43" s="158">
        <v>6302684</v>
      </c>
      <c r="E43" s="94">
        <v>6439765</v>
      </c>
      <c r="F43" s="651"/>
    </row>
    <row r="44" spans="1:6" s="169" customFormat="1" ht="12" customHeight="1">
      <c r="A44" s="12" t="s">
        <v>113</v>
      </c>
      <c r="B44" s="171" t="s">
        <v>183</v>
      </c>
      <c r="C44" s="158">
        <v>1656921</v>
      </c>
      <c r="D44" s="158">
        <v>3726743</v>
      </c>
      <c r="E44" s="94">
        <v>3726743</v>
      </c>
      <c r="F44" s="651"/>
    </row>
    <row r="45" spans="1:6" s="169" customFormat="1" ht="12" customHeight="1">
      <c r="A45" s="12" t="s">
        <v>114</v>
      </c>
      <c r="B45" s="171" t="s">
        <v>184</v>
      </c>
      <c r="C45" s="158">
        <v>10945800</v>
      </c>
      <c r="D45" s="158">
        <v>10945800</v>
      </c>
      <c r="E45" s="94">
        <v>6265586</v>
      </c>
      <c r="F45" s="651"/>
    </row>
    <row r="46" spans="1:6" s="169" customFormat="1" ht="12" customHeight="1">
      <c r="A46" s="12" t="s">
        <v>115</v>
      </c>
      <c r="B46" s="171" t="s">
        <v>185</v>
      </c>
      <c r="C46" s="158">
        <v>11938593</v>
      </c>
      <c r="D46" s="158">
        <v>12592187</v>
      </c>
      <c r="E46" s="94">
        <v>11315088</v>
      </c>
      <c r="F46" s="651"/>
    </row>
    <row r="47" spans="1:6" s="169" customFormat="1" ht="12" customHeight="1">
      <c r="A47" s="12" t="s">
        <v>116</v>
      </c>
      <c r="B47" s="171" t="s">
        <v>186</v>
      </c>
      <c r="C47" s="158"/>
      <c r="D47" s="158"/>
      <c r="E47" s="94"/>
      <c r="F47" s="651"/>
    </row>
    <row r="48" spans="1:6" s="169" customFormat="1" ht="12" customHeight="1">
      <c r="A48" s="12" t="s">
        <v>117</v>
      </c>
      <c r="B48" s="171" t="s">
        <v>488</v>
      </c>
      <c r="C48" s="158">
        <v>50000</v>
      </c>
      <c r="D48" s="158">
        <v>50000</v>
      </c>
      <c r="E48" s="94">
        <v>184</v>
      </c>
      <c r="F48" s="651"/>
    </row>
    <row r="49" spans="1:6" s="169" customFormat="1" ht="12" customHeight="1">
      <c r="A49" s="12" t="s">
        <v>178</v>
      </c>
      <c r="B49" s="171" t="s">
        <v>188</v>
      </c>
      <c r="C49" s="161"/>
      <c r="D49" s="161">
        <v>4669</v>
      </c>
      <c r="E49" s="97">
        <v>5399</v>
      </c>
      <c r="F49" s="653"/>
    </row>
    <row r="50" spans="1:6" s="169" customFormat="1" ht="12" customHeight="1">
      <c r="A50" s="14" t="s">
        <v>179</v>
      </c>
      <c r="B50" s="172" t="s">
        <v>333</v>
      </c>
      <c r="C50" s="162"/>
      <c r="D50" s="162"/>
      <c r="E50" s="98"/>
      <c r="F50" s="653"/>
    </row>
    <row r="51" spans="1:6" s="169" customFormat="1" ht="12" customHeight="1" thickBot="1">
      <c r="A51" s="14" t="s">
        <v>332</v>
      </c>
      <c r="B51" s="102" t="s">
        <v>189</v>
      </c>
      <c r="C51" s="162"/>
      <c r="D51" s="162">
        <v>2314672</v>
      </c>
      <c r="E51" s="98">
        <v>2631960</v>
      </c>
      <c r="F51" s="653"/>
    </row>
    <row r="52" spans="1:6" s="169" customFormat="1" ht="12" customHeight="1" thickBot="1">
      <c r="A52" s="18" t="s">
        <v>11</v>
      </c>
      <c r="B52" s="19" t="s">
        <v>190</v>
      </c>
      <c r="C52" s="157">
        <f>SUM(C53:C57)</f>
        <v>11907010</v>
      </c>
      <c r="D52" s="157">
        <f>SUM(D53:D57)</f>
        <v>12314867</v>
      </c>
      <c r="E52" s="93">
        <f>SUM(E53:E57)</f>
        <v>12348725</v>
      </c>
      <c r="F52" s="650"/>
    </row>
    <row r="53" spans="1:6" s="169" customFormat="1" ht="12" customHeight="1">
      <c r="A53" s="13" t="s">
        <v>60</v>
      </c>
      <c r="B53" s="170" t="s">
        <v>194</v>
      </c>
      <c r="C53" s="210"/>
      <c r="D53" s="210"/>
      <c r="E53" s="99"/>
      <c r="F53" s="653"/>
    </row>
    <row r="54" spans="1:6" s="169" customFormat="1" ht="12" customHeight="1">
      <c r="A54" s="12" t="s">
        <v>61</v>
      </c>
      <c r="B54" s="171" t="s">
        <v>195</v>
      </c>
      <c r="C54" s="161">
        <v>11907010</v>
      </c>
      <c r="D54" s="161">
        <v>12300694</v>
      </c>
      <c r="E54" s="97">
        <v>12300694</v>
      </c>
      <c r="F54" s="653"/>
    </row>
    <row r="55" spans="1:6" s="169" customFormat="1" ht="12" customHeight="1">
      <c r="A55" s="12" t="s">
        <v>191</v>
      </c>
      <c r="B55" s="171" t="s">
        <v>196</v>
      </c>
      <c r="C55" s="161"/>
      <c r="D55" s="161">
        <v>14173</v>
      </c>
      <c r="E55" s="97">
        <v>48031</v>
      </c>
      <c r="F55" s="653"/>
    </row>
    <row r="56" spans="1:6" s="169" customFormat="1" ht="12" customHeight="1">
      <c r="A56" s="12" t="s">
        <v>192</v>
      </c>
      <c r="B56" s="171" t="s">
        <v>197</v>
      </c>
      <c r="C56" s="161"/>
      <c r="D56" s="161"/>
      <c r="E56" s="97"/>
      <c r="F56" s="653"/>
    </row>
    <row r="57" spans="1:6" s="169" customFormat="1" ht="12" customHeight="1" thickBot="1">
      <c r="A57" s="14" t="s">
        <v>193</v>
      </c>
      <c r="B57" s="102" t="s">
        <v>198</v>
      </c>
      <c r="C57" s="162"/>
      <c r="D57" s="162"/>
      <c r="E57" s="98"/>
      <c r="F57" s="653"/>
    </row>
    <row r="58" spans="1:6" s="169" customFormat="1" ht="12" customHeight="1" thickBot="1">
      <c r="A58" s="18" t="s">
        <v>118</v>
      </c>
      <c r="B58" s="19" t="s">
        <v>199</v>
      </c>
      <c r="C58" s="157">
        <f>SUM(C59:C61)</f>
        <v>982365</v>
      </c>
      <c r="D58" s="157">
        <f>SUM(D59:D61)</f>
        <v>243737</v>
      </c>
      <c r="E58" s="93">
        <f>SUM(E59:E61)</f>
        <v>243737</v>
      </c>
      <c r="F58" s="650"/>
    </row>
    <row r="59" spans="1:6" s="169" customFormat="1" ht="12" customHeight="1">
      <c r="A59" s="13" t="s">
        <v>62</v>
      </c>
      <c r="B59" s="170" t="s">
        <v>200</v>
      </c>
      <c r="C59" s="159"/>
      <c r="D59" s="159"/>
      <c r="E59" s="95"/>
      <c r="F59" s="651"/>
    </row>
    <row r="60" spans="1:6" s="169" customFormat="1" ht="12" customHeight="1">
      <c r="A60" s="12" t="s">
        <v>63</v>
      </c>
      <c r="B60" s="171" t="s">
        <v>325</v>
      </c>
      <c r="C60" s="158">
        <v>982365</v>
      </c>
      <c r="D60" s="158">
        <v>42000</v>
      </c>
      <c r="E60" s="94">
        <v>42000</v>
      </c>
      <c r="F60" s="651"/>
    </row>
    <row r="61" spans="1:6" s="169" customFormat="1" ht="12" customHeight="1">
      <c r="A61" s="12" t="s">
        <v>203</v>
      </c>
      <c r="B61" s="171" t="s">
        <v>201</v>
      </c>
      <c r="C61" s="158"/>
      <c r="D61" s="158">
        <v>201737</v>
      </c>
      <c r="E61" s="94">
        <v>201737</v>
      </c>
      <c r="F61" s="651"/>
    </row>
    <row r="62" spans="1:6" s="169" customFormat="1" ht="12" customHeight="1" thickBot="1">
      <c r="A62" s="14" t="s">
        <v>204</v>
      </c>
      <c r="B62" s="102" t="s">
        <v>202</v>
      </c>
      <c r="C62" s="160"/>
      <c r="D62" s="160"/>
      <c r="E62" s="96"/>
      <c r="F62" s="651"/>
    </row>
    <row r="63" spans="1:6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3906518</v>
      </c>
      <c r="E63" s="93">
        <f>SUM(E64:E66)</f>
        <v>3622195</v>
      </c>
      <c r="F63" s="650"/>
    </row>
    <row r="64" spans="1:6" s="169" customFormat="1" ht="12" customHeight="1">
      <c r="A64" s="13" t="s">
        <v>119</v>
      </c>
      <c r="B64" s="170" t="s">
        <v>207</v>
      </c>
      <c r="C64" s="161"/>
      <c r="D64" s="161"/>
      <c r="E64" s="97"/>
      <c r="F64" s="653"/>
    </row>
    <row r="65" spans="1:6" s="169" customFormat="1" ht="12" customHeight="1">
      <c r="A65" s="12" t="s">
        <v>120</v>
      </c>
      <c r="B65" s="171" t="s">
        <v>326</v>
      </c>
      <c r="C65" s="161"/>
      <c r="D65" s="161">
        <v>2056518</v>
      </c>
      <c r="E65" s="97">
        <v>2022195</v>
      </c>
      <c r="F65" s="653"/>
    </row>
    <row r="66" spans="1:6" s="169" customFormat="1" ht="12" customHeight="1">
      <c r="A66" s="12" t="s">
        <v>139</v>
      </c>
      <c r="B66" s="171" t="s">
        <v>208</v>
      </c>
      <c r="C66" s="161"/>
      <c r="D66" s="161">
        <v>1850000</v>
      </c>
      <c r="E66" s="97">
        <v>1600000</v>
      </c>
      <c r="F66" s="653"/>
    </row>
    <row r="67" spans="1:6" s="169" customFormat="1" ht="12" customHeight="1" thickBot="1">
      <c r="A67" s="14" t="s">
        <v>206</v>
      </c>
      <c r="B67" s="102" t="s">
        <v>209</v>
      </c>
      <c r="C67" s="161"/>
      <c r="D67" s="161"/>
      <c r="E67" s="97"/>
      <c r="F67" s="653"/>
    </row>
    <row r="68" spans="1:6" s="169" customFormat="1" ht="12" customHeight="1" thickBot="1">
      <c r="A68" s="221" t="s">
        <v>373</v>
      </c>
      <c r="B68" s="19" t="s">
        <v>210</v>
      </c>
      <c r="C68" s="163">
        <f>+C11+C18+C25+C32+C40+C52+C58+C63</f>
        <v>542222486</v>
      </c>
      <c r="D68" s="163">
        <f>+D11+D18+D25+D32+D40+D52+D58+D63</f>
        <v>551377023</v>
      </c>
      <c r="E68" s="199">
        <f>+E11+E18+E25+E32+E40+E52+E58+E63</f>
        <v>545578701</v>
      </c>
      <c r="F68" s="652"/>
    </row>
    <row r="69" spans="1:6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  <c r="F69" s="650"/>
    </row>
    <row r="70" spans="1:6" s="169" customFormat="1" ht="12" customHeight="1">
      <c r="A70" s="13" t="s">
        <v>240</v>
      </c>
      <c r="B70" s="170" t="s">
        <v>213</v>
      </c>
      <c r="C70" s="161"/>
      <c r="D70" s="161"/>
      <c r="E70" s="97"/>
      <c r="F70" s="653"/>
    </row>
    <row r="71" spans="1:6" s="169" customFormat="1" ht="12" customHeight="1">
      <c r="A71" s="12" t="s">
        <v>249</v>
      </c>
      <c r="B71" s="171" t="s">
        <v>214</v>
      </c>
      <c r="C71" s="161"/>
      <c r="D71" s="161"/>
      <c r="E71" s="97"/>
      <c r="F71" s="653"/>
    </row>
    <row r="72" spans="1:6" s="169" customFormat="1" ht="12" customHeight="1" thickBot="1">
      <c r="A72" s="14" t="s">
        <v>250</v>
      </c>
      <c r="B72" s="217" t="s">
        <v>358</v>
      </c>
      <c r="C72" s="161"/>
      <c r="D72" s="161"/>
      <c r="E72" s="97"/>
      <c r="F72" s="653"/>
    </row>
    <row r="73" spans="1:6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  <c r="F73" s="650"/>
    </row>
    <row r="74" spans="1:6" s="169" customFormat="1" ht="12" customHeight="1">
      <c r="A74" s="13" t="s">
        <v>97</v>
      </c>
      <c r="B74" s="354" t="s">
        <v>218</v>
      </c>
      <c r="C74" s="161"/>
      <c r="D74" s="161"/>
      <c r="E74" s="97"/>
      <c r="F74" s="653"/>
    </row>
    <row r="75" spans="1:6" s="169" customFormat="1" ht="12" customHeight="1">
      <c r="A75" s="12" t="s">
        <v>98</v>
      </c>
      <c r="B75" s="354" t="s">
        <v>495</v>
      </c>
      <c r="C75" s="161"/>
      <c r="D75" s="161"/>
      <c r="E75" s="97"/>
      <c r="F75" s="653"/>
    </row>
    <row r="76" spans="1:6" s="169" customFormat="1" ht="12" customHeight="1">
      <c r="A76" s="12" t="s">
        <v>241</v>
      </c>
      <c r="B76" s="354" t="s">
        <v>219</v>
      </c>
      <c r="C76" s="161"/>
      <c r="D76" s="161"/>
      <c r="E76" s="97"/>
      <c r="F76" s="653"/>
    </row>
    <row r="77" spans="1:6" s="169" customFormat="1" ht="12" customHeight="1" thickBot="1">
      <c r="A77" s="14" t="s">
        <v>242</v>
      </c>
      <c r="B77" s="355" t="s">
        <v>496</v>
      </c>
      <c r="C77" s="161"/>
      <c r="D77" s="161"/>
      <c r="E77" s="97"/>
      <c r="F77" s="653"/>
    </row>
    <row r="78" spans="1:6" s="169" customFormat="1" ht="12" customHeight="1" thickBot="1">
      <c r="A78" s="211" t="s">
        <v>220</v>
      </c>
      <c r="B78" s="100" t="s">
        <v>221</v>
      </c>
      <c r="C78" s="157">
        <f>SUM(C79:C80)</f>
        <v>126176907</v>
      </c>
      <c r="D78" s="157">
        <f>SUM(D79:D80)</f>
        <v>161905313</v>
      </c>
      <c r="E78" s="93">
        <f>SUM(E79:E80)</f>
        <v>161905313</v>
      </c>
      <c r="F78" s="650"/>
    </row>
    <row r="79" spans="1:6" s="169" customFormat="1" ht="12" customHeight="1">
      <c r="A79" s="13" t="s">
        <v>243</v>
      </c>
      <c r="B79" s="170" t="s">
        <v>222</v>
      </c>
      <c r="C79" s="161">
        <v>126176907</v>
      </c>
      <c r="D79" s="161">
        <v>161905313</v>
      </c>
      <c r="E79" s="97">
        <v>161905313</v>
      </c>
      <c r="F79" s="653"/>
    </row>
    <row r="80" spans="1:6" s="169" customFormat="1" ht="12" customHeight="1" thickBot="1">
      <c r="A80" s="14" t="s">
        <v>244</v>
      </c>
      <c r="B80" s="102" t="s">
        <v>223</v>
      </c>
      <c r="C80" s="161"/>
      <c r="D80" s="161"/>
      <c r="E80" s="97"/>
      <c r="F80" s="653"/>
    </row>
    <row r="81" spans="1:6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13176869</v>
      </c>
      <c r="E81" s="93">
        <f>SUM(E82:E84)</f>
        <v>13176869</v>
      </c>
      <c r="F81" s="650"/>
    </row>
    <row r="82" spans="1:6" s="169" customFormat="1" ht="12" customHeight="1">
      <c r="A82" s="13" t="s">
        <v>245</v>
      </c>
      <c r="B82" s="170" t="s">
        <v>226</v>
      </c>
      <c r="C82" s="161"/>
      <c r="D82" s="161">
        <v>13176869</v>
      </c>
      <c r="E82" s="97">
        <v>13176869</v>
      </c>
      <c r="F82" s="653"/>
    </row>
    <row r="83" spans="1:6" s="169" customFormat="1" ht="12" customHeight="1">
      <c r="A83" s="12" t="s">
        <v>246</v>
      </c>
      <c r="B83" s="171" t="s">
        <v>227</v>
      </c>
      <c r="C83" s="161"/>
      <c r="D83" s="161"/>
      <c r="E83" s="97"/>
      <c r="F83" s="653"/>
    </row>
    <row r="84" spans="1:6" s="169" customFormat="1" ht="12" customHeight="1" thickBot="1">
      <c r="A84" s="14" t="s">
        <v>247</v>
      </c>
      <c r="B84" s="102" t="s">
        <v>497</v>
      </c>
      <c r="C84" s="161"/>
      <c r="D84" s="161"/>
      <c r="E84" s="97"/>
      <c r="F84" s="653"/>
    </row>
    <row r="85" spans="1:6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  <c r="F85" s="650"/>
    </row>
    <row r="86" spans="1:6" s="169" customFormat="1" ht="12" customHeight="1">
      <c r="A86" s="174" t="s">
        <v>229</v>
      </c>
      <c r="B86" s="170" t="s">
        <v>230</v>
      </c>
      <c r="C86" s="161"/>
      <c r="D86" s="161"/>
      <c r="E86" s="97"/>
      <c r="F86" s="653"/>
    </row>
    <row r="87" spans="1:6" s="169" customFormat="1" ht="12" customHeight="1">
      <c r="A87" s="175" t="s">
        <v>231</v>
      </c>
      <c r="B87" s="171" t="s">
        <v>232</v>
      </c>
      <c r="C87" s="161"/>
      <c r="D87" s="161"/>
      <c r="E87" s="97"/>
      <c r="F87" s="653"/>
    </row>
    <row r="88" spans="1:6" s="169" customFormat="1" ht="12" customHeight="1">
      <c r="A88" s="175" t="s">
        <v>233</v>
      </c>
      <c r="B88" s="171" t="s">
        <v>234</v>
      </c>
      <c r="C88" s="161"/>
      <c r="D88" s="161"/>
      <c r="E88" s="97"/>
      <c r="F88" s="653"/>
    </row>
    <row r="89" spans="1:6" s="169" customFormat="1" ht="12" customHeight="1" thickBot="1">
      <c r="A89" s="176" t="s">
        <v>235</v>
      </c>
      <c r="B89" s="102" t="s">
        <v>236</v>
      </c>
      <c r="C89" s="161"/>
      <c r="D89" s="161"/>
      <c r="E89" s="97"/>
      <c r="F89" s="653"/>
    </row>
    <row r="90" spans="1:6" s="169" customFormat="1" ht="12" customHeight="1" thickBot="1">
      <c r="A90" s="211" t="s">
        <v>237</v>
      </c>
      <c r="B90" s="100" t="s">
        <v>372</v>
      </c>
      <c r="C90" s="213"/>
      <c r="D90" s="213"/>
      <c r="E90" s="214"/>
      <c r="F90" s="658"/>
    </row>
    <row r="91" spans="1:6" s="169" customFormat="1" ht="13.5" customHeight="1" thickBot="1">
      <c r="A91" s="211" t="s">
        <v>239</v>
      </c>
      <c r="B91" s="100" t="s">
        <v>238</v>
      </c>
      <c r="C91" s="213"/>
      <c r="D91" s="213"/>
      <c r="E91" s="214"/>
      <c r="F91" s="658"/>
    </row>
    <row r="92" spans="1:6" s="169" customFormat="1" ht="15.75" customHeight="1" thickBot="1">
      <c r="A92" s="211" t="s">
        <v>251</v>
      </c>
      <c r="B92" s="177" t="s">
        <v>375</v>
      </c>
      <c r="C92" s="163">
        <f>+C69+C73+C78+C81+C85+C91+C90</f>
        <v>126176907</v>
      </c>
      <c r="D92" s="163">
        <f>+D69+D73+D78+D81+D85+D91+D90</f>
        <v>175082182</v>
      </c>
      <c r="E92" s="199">
        <f>+E69+E73+E78+E81+E85+E91+E90</f>
        <v>175082182</v>
      </c>
      <c r="F92" s="652"/>
    </row>
    <row r="93" spans="1:6" s="169" customFormat="1" ht="25.5" customHeight="1" thickBot="1">
      <c r="A93" s="212" t="s">
        <v>374</v>
      </c>
      <c r="B93" s="178" t="s">
        <v>376</v>
      </c>
      <c r="C93" s="163">
        <f>+C68+C92</f>
        <v>668399393</v>
      </c>
      <c r="D93" s="163">
        <f>+D68+D92</f>
        <v>726459205</v>
      </c>
      <c r="E93" s="199">
        <f>+E68+E92</f>
        <v>720660883</v>
      </c>
      <c r="F93" s="652"/>
    </row>
    <row r="94" spans="1:3" s="169" customFormat="1" ht="15" customHeight="1">
      <c r="A94" s="3"/>
      <c r="B94" s="4"/>
      <c r="C94" s="104"/>
    </row>
    <row r="95" spans="1:6" ht="16.5" customHeight="1">
      <c r="A95" s="754" t="s">
        <v>34</v>
      </c>
      <c r="B95" s="754"/>
      <c r="C95" s="754"/>
      <c r="D95" s="754"/>
      <c r="E95" s="754"/>
      <c r="F95" s="643"/>
    </row>
    <row r="96" spans="1:6" s="179" customFormat="1" ht="16.5" customHeight="1" thickBot="1">
      <c r="A96" s="755" t="s">
        <v>100</v>
      </c>
      <c r="B96" s="755"/>
      <c r="C96" s="61"/>
      <c r="E96" s="61" t="str">
        <f>E7</f>
        <v> Forintban!</v>
      </c>
      <c r="F96" s="654"/>
    </row>
    <row r="97" spans="1:6" ht="1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  <c r="F97" s="647"/>
    </row>
    <row r="98" spans="1:6" ht="23.2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  <c r="F98" s="648"/>
    </row>
    <row r="99" spans="1:6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  <c r="F99" s="649"/>
    </row>
    <row r="100" spans="1:6" ht="12" customHeight="1" thickBot="1">
      <c r="A100" s="20" t="s">
        <v>6</v>
      </c>
      <c r="B100" s="24" t="s">
        <v>334</v>
      </c>
      <c r="C100" s="156">
        <f>C101+C102+C103+C104+C105+C118</f>
        <v>439791667</v>
      </c>
      <c r="D100" s="156">
        <f>D101+D102+D103+D104+D105+D118</f>
        <v>508969333</v>
      </c>
      <c r="E100" s="224">
        <f>E101+E102+E103+E104+E105+E118</f>
        <v>393275584</v>
      </c>
      <c r="F100" s="650"/>
    </row>
    <row r="101" spans="1:6" ht="12" customHeight="1">
      <c r="A101" s="15" t="s">
        <v>64</v>
      </c>
      <c r="B101" s="8" t="s">
        <v>35</v>
      </c>
      <c r="C101" s="231">
        <v>137343031</v>
      </c>
      <c r="D101" s="231">
        <v>144517214</v>
      </c>
      <c r="E101" s="225">
        <v>132848699</v>
      </c>
      <c r="F101" s="651"/>
    </row>
    <row r="102" spans="1:6" ht="12" customHeight="1">
      <c r="A102" s="12" t="s">
        <v>65</v>
      </c>
      <c r="B102" s="6" t="s">
        <v>121</v>
      </c>
      <c r="C102" s="158">
        <v>30666604</v>
      </c>
      <c r="D102" s="158">
        <v>31764481</v>
      </c>
      <c r="E102" s="94">
        <v>25630545</v>
      </c>
      <c r="F102" s="651"/>
    </row>
    <row r="103" spans="1:6" ht="12" customHeight="1">
      <c r="A103" s="12" t="s">
        <v>66</v>
      </c>
      <c r="B103" s="6" t="s">
        <v>92</v>
      </c>
      <c r="C103" s="160">
        <v>174711855</v>
      </c>
      <c r="D103" s="160">
        <v>185689665</v>
      </c>
      <c r="E103" s="96">
        <v>153357612</v>
      </c>
      <c r="F103" s="651"/>
    </row>
    <row r="104" spans="1:6" ht="12" customHeight="1">
      <c r="A104" s="12" t="s">
        <v>67</v>
      </c>
      <c r="B104" s="9" t="s">
        <v>122</v>
      </c>
      <c r="C104" s="160">
        <v>5300000</v>
      </c>
      <c r="D104" s="160">
        <v>5300000</v>
      </c>
      <c r="E104" s="96">
        <v>3851370</v>
      </c>
      <c r="F104" s="651"/>
    </row>
    <row r="105" spans="1:6" ht="12" customHeight="1">
      <c r="A105" s="12" t="s">
        <v>76</v>
      </c>
      <c r="B105" s="17" t="s">
        <v>123</v>
      </c>
      <c r="C105" s="160">
        <v>68346835</v>
      </c>
      <c r="D105" s="160">
        <v>78889498</v>
      </c>
      <c r="E105" s="96">
        <v>77587358</v>
      </c>
      <c r="F105" s="651"/>
    </row>
    <row r="106" spans="1:6" ht="12" customHeight="1">
      <c r="A106" s="12" t="s">
        <v>68</v>
      </c>
      <c r="B106" s="6" t="s">
        <v>339</v>
      </c>
      <c r="C106" s="160">
        <v>1239822</v>
      </c>
      <c r="D106" s="160"/>
      <c r="E106" s="96"/>
      <c r="F106" s="651"/>
    </row>
    <row r="107" spans="1:6" ht="12" customHeight="1">
      <c r="A107" s="12" t="s">
        <v>69</v>
      </c>
      <c r="B107" s="65" t="s">
        <v>338</v>
      </c>
      <c r="C107" s="160"/>
      <c r="D107" s="160"/>
      <c r="E107" s="96"/>
      <c r="F107" s="651"/>
    </row>
    <row r="108" spans="1:6" ht="12" customHeight="1">
      <c r="A108" s="12" t="s">
        <v>77</v>
      </c>
      <c r="B108" s="65" t="s">
        <v>337</v>
      </c>
      <c r="C108" s="160"/>
      <c r="D108" s="160">
        <v>1435360</v>
      </c>
      <c r="E108" s="96">
        <v>1435030</v>
      </c>
      <c r="F108" s="651"/>
    </row>
    <row r="109" spans="1:6" ht="12" customHeight="1">
      <c r="A109" s="12" t="s">
        <v>78</v>
      </c>
      <c r="B109" s="63" t="s">
        <v>254</v>
      </c>
      <c r="C109" s="160"/>
      <c r="D109" s="160"/>
      <c r="E109" s="96"/>
      <c r="F109" s="651"/>
    </row>
    <row r="110" spans="1:6" ht="12" customHeight="1">
      <c r="A110" s="12" t="s">
        <v>79</v>
      </c>
      <c r="B110" s="64" t="s">
        <v>255</v>
      </c>
      <c r="C110" s="160"/>
      <c r="D110" s="160"/>
      <c r="E110" s="96"/>
      <c r="F110" s="651"/>
    </row>
    <row r="111" spans="1:6" ht="12" customHeight="1">
      <c r="A111" s="12" t="s">
        <v>80</v>
      </c>
      <c r="B111" s="64" t="s">
        <v>256</v>
      </c>
      <c r="C111" s="160"/>
      <c r="D111" s="160"/>
      <c r="E111" s="96"/>
      <c r="F111" s="651"/>
    </row>
    <row r="112" spans="1:6" ht="12" customHeight="1">
      <c r="A112" s="12" t="s">
        <v>82</v>
      </c>
      <c r="B112" s="63" t="s">
        <v>257</v>
      </c>
      <c r="C112" s="160">
        <v>48225000</v>
      </c>
      <c r="D112" s="160">
        <v>49033858</v>
      </c>
      <c r="E112" s="96">
        <v>48853858</v>
      </c>
      <c r="F112" s="651"/>
    </row>
    <row r="113" spans="1:6" ht="12" customHeight="1">
      <c r="A113" s="12" t="s">
        <v>124</v>
      </c>
      <c r="B113" s="63" t="s">
        <v>258</v>
      </c>
      <c r="C113" s="160"/>
      <c r="D113" s="160"/>
      <c r="E113" s="96"/>
      <c r="F113" s="651"/>
    </row>
    <row r="114" spans="1:6" ht="12" customHeight="1">
      <c r="A114" s="12" t="s">
        <v>252</v>
      </c>
      <c r="B114" s="64" t="s">
        <v>259</v>
      </c>
      <c r="C114" s="160"/>
      <c r="D114" s="160"/>
      <c r="E114" s="96">
        <v>42000</v>
      </c>
      <c r="F114" s="651"/>
    </row>
    <row r="115" spans="1:6" ht="12" customHeight="1">
      <c r="A115" s="11" t="s">
        <v>253</v>
      </c>
      <c r="B115" s="65" t="s">
        <v>260</v>
      </c>
      <c r="C115" s="160"/>
      <c r="D115" s="160"/>
      <c r="E115" s="96"/>
      <c r="F115" s="651"/>
    </row>
    <row r="116" spans="1:6" ht="12" customHeight="1">
      <c r="A116" s="12" t="s">
        <v>335</v>
      </c>
      <c r="B116" s="65" t="s">
        <v>261</v>
      </c>
      <c r="C116" s="160"/>
      <c r="D116" s="160"/>
      <c r="E116" s="96"/>
      <c r="F116" s="651"/>
    </row>
    <row r="117" spans="1:6" ht="12" customHeight="1">
      <c r="A117" s="14" t="s">
        <v>336</v>
      </c>
      <c r="B117" s="65" t="s">
        <v>262</v>
      </c>
      <c r="C117" s="160">
        <v>18882013</v>
      </c>
      <c r="D117" s="160">
        <v>27952000</v>
      </c>
      <c r="E117" s="96">
        <v>26874000</v>
      </c>
      <c r="F117" s="651"/>
    </row>
    <row r="118" spans="1:6" ht="12" customHeight="1">
      <c r="A118" s="12" t="s">
        <v>340</v>
      </c>
      <c r="B118" s="9" t="s">
        <v>36</v>
      </c>
      <c r="C118" s="158">
        <v>23423342</v>
      </c>
      <c r="D118" s="158">
        <v>62808475</v>
      </c>
      <c r="E118" s="94"/>
      <c r="F118" s="651"/>
    </row>
    <row r="119" spans="1:6" ht="12" customHeight="1">
      <c r="A119" s="12" t="s">
        <v>341</v>
      </c>
      <c r="B119" s="6" t="s">
        <v>343</v>
      </c>
      <c r="C119" s="158">
        <v>16584253</v>
      </c>
      <c r="D119" s="158">
        <v>55565549</v>
      </c>
      <c r="E119" s="94"/>
      <c r="F119" s="651"/>
    </row>
    <row r="120" spans="1:6" ht="12" customHeight="1" thickBot="1">
      <c r="A120" s="16" t="s">
        <v>342</v>
      </c>
      <c r="B120" s="220" t="s">
        <v>344</v>
      </c>
      <c r="C120" s="232">
        <v>6839089</v>
      </c>
      <c r="D120" s="232">
        <v>7242926</v>
      </c>
      <c r="E120" s="226"/>
      <c r="F120" s="651"/>
    </row>
    <row r="121" spans="1:6" ht="12" customHeight="1" thickBot="1">
      <c r="A121" s="218" t="s">
        <v>7</v>
      </c>
      <c r="B121" s="219" t="s">
        <v>263</v>
      </c>
      <c r="C121" s="157">
        <f>+C122+C124+C126</f>
        <v>224495099</v>
      </c>
      <c r="D121" s="157">
        <f>+D122+D124+D126</f>
        <v>204259474</v>
      </c>
      <c r="E121" s="227">
        <f>+E122+E124+E126</f>
        <v>134747628</v>
      </c>
      <c r="F121" s="650"/>
    </row>
    <row r="122" spans="1:6" ht="12" customHeight="1">
      <c r="A122" s="13" t="s">
        <v>70</v>
      </c>
      <c r="B122" s="6" t="s">
        <v>138</v>
      </c>
      <c r="C122" s="159">
        <v>109121844</v>
      </c>
      <c r="D122" s="242">
        <v>106481126</v>
      </c>
      <c r="E122" s="95">
        <v>70954176</v>
      </c>
      <c r="F122" s="651"/>
    </row>
    <row r="123" spans="1:6" ht="12" customHeight="1">
      <c r="A123" s="13" t="s">
        <v>71</v>
      </c>
      <c r="B123" s="10" t="s">
        <v>267</v>
      </c>
      <c r="C123" s="159">
        <v>68814684</v>
      </c>
      <c r="D123" s="242">
        <v>68814684</v>
      </c>
      <c r="E123" s="95">
        <v>45463345</v>
      </c>
      <c r="F123" s="651"/>
    </row>
    <row r="124" spans="1:6" ht="12" customHeight="1">
      <c r="A124" s="13" t="s">
        <v>72</v>
      </c>
      <c r="B124" s="10" t="s">
        <v>125</v>
      </c>
      <c r="C124" s="158">
        <v>110873255</v>
      </c>
      <c r="D124" s="243">
        <v>95683388</v>
      </c>
      <c r="E124" s="94">
        <v>61931792</v>
      </c>
      <c r="F124" s="651"/>
    </row>
    <row r="125" spans="1:6" ht="12" customHeight="1">
      <c r="A125" s="13" t="s">
        <v>73</v>
      </c>
      <c r="B125" s="10" t="s">
        <v>268</v>
      </c>
      <c r="C125" s="158"/>
      <c r="D125" s="243"/>
      <c r="E125" s="94"/>
      <c r="F125" s="651"/>
    </row>
    <row r="126" spans="1:6" ht="12" customHeight="1">
      <c r="A126" s="13" t="s">
        <v>74</v>
      </c>
      <c r="B126" s="102" t="s">
        <v>140</v>
      </c>
      <c r="C126" s="158">
        <v>4500000</v>
      </c>
      <c r="D126" s="243">
        <v>2094960</v>
      </c>
      <c r="E126" s="94">
        <v>1861660</v>
      </c>
      <c r="F126" s="651"/>
    </row>
    <row r="127" spans="1:6" ht="12" customHeight="1">
      <c r="A127" s="13" t="s">
        <v>81</v>
      </c>
      <c r="B127" s="101" t="s">
        <v>327</v>
      </c>
      <c r="C127" s="158"/>
      <c r="D127" s="243"/>
      <c r="E127" s="94"/>
      <c r="F127" s="651"/>
    </row>
    <row r="128" spans="1:6" ht="12" customHeight="1">
      <c r="A128" s="13" t="s">
        <v>83</v>
      </c>
      <c r="B128" s="166" t="s">
        <v>273</v>
      </c>
      <c r="C128" s="158"/>
      <c r="D128" s="243"/>
      <c r="E128" s="94"/>
      <c r="F128" s="651"/>
    </row>
    <row r="129" spans="1:6" ht="15">
      <c r="A129" s="13" t="s">
        <v>126</v>
      </c>
      <c r="B129" s="64" t="s">
        <v>256</v>
      </c>
      <c r="C129" s="158"/>
      <c r="D129" s="243"/>
      <c r="E129" s="94"/>
      <c r="F129" s="651"/>
    </row>
    <row r="130" spans="1:6" ht="12" customHeight="1">
      <c r="A130" s="13" t="s">
        <v>127</v>
      </c>
      <c r="B130" s="64" t="s">
        <v>272</v>
      </c>
      <c r="C130" s="158"/>
      <c r="D130" s="243"/>
      <c r="E130" s="94"/>
      <c r="F130" s="651"/>
    </row>
    <row r="131" spans="1:6" ht="12" customHeight="1">
      <c r="A131" s="13" t="s">
        <v>128</v>
      </c>
      <c r="B131" s="64" t="s">
        <v>271</v>
      </c>
      <c r="C131" s="158"/>
      <c r="D131" s="243"/>
      <c r="E131" s="94"/>
      <c r="F131" s="651"/>
    </row>
    <row r="132" spans="1:6" ht="12" customHeight="1">
      <c r="A132" s="13" t="s">
        <v>264</v>
      </c>
      <c r="B132" s="64" t="s">
        <v>259</v>
      </c>
      <c r="C132" s="158">
        <v>2000000</v>
      </c>
      <c r="D132" s="243">
        <v>1845000</v>
      </c>
      <c r="E132" s="94">
        <v>1611700</v>
      </c>
      <c r="F132" s="651"/>
    </row>
    <row r="133" spans="1:6" ht="12" customHeight="1">
      <c r="A133" s="13" t="s">
        <v>265</v>
      </c>
      <c r="B133" s="64" t="s">
        <v>270</v>
      </c>
      <c r="C133" s="158"/>
      <c r="D133" s="243"/>
      <c r="E133" s="94"/>
      <c r="F133" s="651"/>
    </row>
    <row r="134" spans="1:6" ht="15.75" thickBot="1">
      <c r="A134" s="11" t="s">
        <v>266</v>
      </c>
      <c r="B134" s="64" t="s">
        <v>269</v>
      </c>
      <c r="C134" s="160">
        <v>2500000</v>
      </c>
      <c r="D134" s="244">
        <v>249960</v>
      </c>
      <c r="E134" s="96">
        <v>249960</v>
      </c>
      <c r="F134" s="651"/>
    </row>
    <row r="135" spans="1:6" ht="12" customHeight="1" thickBot="1">
      <c r="A135" s="18" t="s">
        <v>8</v>
      </c>
      <c r="B135" s="57" t="s">
        <v>345</v>
      </c>
      <c r="C135" s="157">
        <f>+C100+C121</f>
        <v>664286766</v>
      </c>
      <c r="D135" s="241">
        <f>+D100+D121</f>
        <v>713228807</v>
      </c>
      <c r="E135" s="93">
        <f>+E100+E121</f>
        <v>528023212</v>
      </c>
      <c r="F135" s="650"/>
    </row>
    <row r="136" spans="1:6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  <c r="F136" s="650"/>
    </row>
    <row r="137" spans="1:6" ht="12" customHeight="1">
      <c r="A137" s="13" t="s">
        <v>171</v>
      </c>
      <c r="B137" s="10" t="s">
        <v>353</v>
      </c>
      <c r="C137" s="158"/>
      <c r="D137" s="243"/>
      <c r="E137" s="94"/>
      <c r="F137" s="651"/>
    </row>
    <row r="138" spans="1:6" ht="12" customHeight="1">
      <c r="A138" s="13" t="s">
        <v>172</v>
      </c>
      <c r="B138" s="10" t="s">
        <v>354</v>
      </c>
      <c r="C138" s="158"/>
      <c r="D138" s="243"/>
      <c r="E138" s="94"/>
      <c r="F138" s="651"/>
    </row>
    <row r="139" spans="1:6" ht="12" customHeight="1" thickBot="1">
      <c r="A139" s="11" t="s">
        <v>173</v>
      </c>
      <c r="B139" s="10" t="s">
        <v>355</v>
      </c>
      <c r="C139" s="158"/>
      <c r="D139" s="243"/>
      <c r="E139" s="94"/>
      <c r="F139" s="651"/>
    </row>
    <row r="140" spans="1:6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  <c r="F140" s="650"/>
    </row>
    <row r="141" spans="1:6" ht="12" customHeight="1">
      <c r="A141" s="13" t="s">
        <v>57</v>
      </c>
      <c r="B141" s="7" t="s">
        <v>356</v>
      </c>
      <c r="C141" s="158"/>
      <c r="D141" s="243"/>
      <c r="E141" s="94"/>
      <c r="F141" s="651"/>
    </row>
    <row r="142" spans="1:6" ht="12" customHeight="1">
      <c r="A142" s="13" t="s">
        <v>58</v>
      </c>
      <c r="B142" s="7" t="s">
        <v>348</v>
      </c>
      <c r="C142" s="158"/>
      <c r="D142" s="243"/>
      <c r="E142" s="94"/>
      <c r="F142" s="651"/>
    </row>
    <row r="143" spans="1:6" ht="12" customHeight="1">
      <c r="A143" s="13" t="s">
        <v>59</v>
      </c>
      <c r="B143" s="7" t="s">
        <v>349</v>
      </c>
      <c r="C143" s="158"/>
      <c r="D143" s="243"/>
      <c r="E143" s="94"/>
      <c r="F143" s="651"/>
    </row>
    <row r="144" spans="1:6" ht="12" customHeight="1">
      <c r="A144" s="13" t="s">
        <v>113</v>
      </c>
      <c r="B144" s="7" t="s">
        <v>350</v>
      </c>
      <c r="C144" s="158"/>
      <c r="D144" s="243"/>
      <c r="E144" s="94"/>
      <c r="F144" s="651"/>
    </row>
    <row r="145" spans="1:6" ht="12" customHeight="1">
      <c r="A145" s="13" t="s">
        <v>114</v>
      </c>
      <c r="B145" s="7" t="s">
        <v>351</v>
      </c>
      <c r="C145" s="158"/>
      <c r="D145" s="243"/>
      <c r="E145" s="94"/>
      <c r="F145" s="651"/>
    </row>
    <row r="146" spans="1:6" ht="12" customHeight="1" thickBot="1">
      <c r="A146" s="16" t="s">
        <v>115</v>
      </c>
      <c r="B146" s="366" t="s">
        <v>352</v>
      </c>
      <c r="C146" s="232"/>
      <c r="D146" s="308"/>
      <c r="E146" s="226"/>
      <c r="F146" s="651"/>
    </row>
    <row r="147" spans="1:6" ht="12" customHeight="1" thickBot="1">
      <c r="A147" s="18" t="s">
        <v>11</v>
      </c>
      <c r="B147" s="57" t="s">
        <v>360</v>
      </c>
      <c r="C147" s="163">
        <f>+C148+C149+C150+C151</f>
        <v>4112627</v>
      </c>
      <c r="D147" s="245">
        <f>+D148+D149+D150+D151</f>
        <v>13230398</v>
      </c>
      <c r="E147" s="199">
        <f>+E148+E149+E150+E151</f>
        <v>13230398</v>
      </c>
      <c r="F147" s="652"/>
    </row>
    <row r="148" spans="1:6" ht="12" customHeight="1">
      <c r="A148" s="13" t="s">
        <v>60</v>
      </c>
      <c r="B148" s="7" t="s">
        <v>274</v>
      </c>
      <c r="C148" s="158"/>
      <c r="D148" s="243"/>
      <c r="E148" s="94"/>
      <c r="F148" s="651"/>
    </row>
    <row r="149" spans="1:6" ht="12" customHeight="1">
      <c r="A149" s="13" t="s">
        <v>61</v>
      </c>
      <c r="B149" s="7" t="s">
        <v>275</v>
      </c>
      <c r="C149" s="158">
        <v>4112627</v>
      </c>
      <c r="D149" s="243">
        <v>13230398</v>
      </c>
      <c r="E149" s="94">
        <v>13230398</v>
      </c>
      <c r="F149" s="651"/>
    </row>
    <row r="150" spans="1:6" ht="12" customHeight="1">
      <c r="A150" s="13" t="s">
        <v>191</v>
      </c>
      <c r="B150" s="7" t="s">
        <v>361</v>
      </c>
      <c r="C150" s="158"/>
      <c r="D150" s="243"/>
      <c r="E150" s="94"/>
      <c r="F150" s="651"/>
    </row>
    <row r="151" spans="1:6" ht="12" customHeight="1" thickBot="1">
      <c r="A151" s="11" t="s">
        <v>192</v>
      </c>
      <c r="B151" s="5" t="s">
        <v>291</v>
      </c>
      <c r="C151" s="158"/>
      <c r="D151" s="243"/>
      <c r="E151" s="94"/>
      <c r="F151" s="651"/>
    </row>
    <row r="152" spans="1:6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  <c r="F152" s="655"/>
    </row>
    <row r="153" spans="1:6" ht="12" customHeight="1">
      <c r="A153" s="13" t="s">
        <v>62</v>
      </c>
      <c r="B153" s="7" t="s">
        <v>357</v>
      </c>
      <c r="C153" s="158"/>
      <c r="D153" s="243"/>
      <c r="E153" s="94"/>
      <c r="F153" s="651"/>
    </row>
    <row r="154" spans="1:6" ht="12" customHeight="1">
      <c r="A154" s="13" t="s">
        <v>63</v>
      </c>
      <c r="B154" s="7" t="s">
        <v>364</v>
      </c>
      <c r="C154" s="158"/>
      <c r="D154" s="243"/>
      <c r="E154" s="94"/>
      <c r="F154" s="651"/>
    </row>
    <row r="155" spans="1:6" ht="12" customHeight="1">
      <c r="A155" s="13" t="s">
        <v>203</v>
      </c>
      <c r="B155" s="7" t="s">
        <v>359</v>
      </c>
      <c r="C155" s="158"/>
      <c r="D155" s="243"/>
      <c r="E155" s="94"/>
      <c r="F155" s="651"/>
    </row>
    <row r="156" spans="1:6" ht="12" customHeight="1">
      <c r="A156" s="13" t="s">
        <v>204</v>
      </c>
      <c r="B156" s="7" t="s">
        <v>365</v>
      </c>
      <c r="C156" s="158"/>
      <c r="D156" s="243"/>
      <c r="E156" s="94"/>
      <c r="F156" s="651"/>
    </row>
    <row r="157" spans="1:6" ht="12" customHeight="1" thickBot="1">
      <c r="A157" s="13" t="s">
        <v>363</v>
      </c>
      <c r="B157" s="7" t="s">
        <v>366</v>
      </c>
      <c r="C157" s="158"/>
      <c r="D157" s="243"/>
      <c r="E157" s="94"/>
      <c r="F157" s="651"/>
    </row>
    <row r="158" spans="1:6" ht="12" customHeight="1" thickBot="1">
      <c r="A158" s="18" t="s">
        <v>13</v>
      </c>
      <c r="B158" s="57" t="s">
        <v>367</v>
      </c>
      <c r="C158" s="235"/>
      <c r="D158" s="247"/>
      <c r="E158" s="229"/>
      <c r="F158" s="656"/>
    </row>
    <row r="159" spans="1:6" ht="12" customHeight="1" thickBot="1">
      <c r="A159" s="18" t="s">
        <v>14</v>
      </c>
      <c r="B159" s="57" t="s">
        <v>368</v>
      </c>
      <c r="C159" s="235"/>
      <c r="D159" s="247"/>
      <c r="E159" s="229"/>
      <c r="F159" s="656"/>
    </row>
    <row r="160" spans="1:6" ht="15" customHeight="1" thickBot="1">
      <c r="A160" s="18" t="s">
        <v>15</v>
      </c>
      <c r="B160" s="57" t="s">
        <v>370</v>
      </c>
      <c r="C160" s="236">
        <f>+C136+C140+C147+C152+C158+C159</f>
        <v>4112627</v>
      </c>
      <c r="D160" s="248">
        <f>+D136+D140+D147+D152+D158+D159</f>
        <v>13230398</v>
      </c>
      <c r="E160" s="230">
        <f>+E136+E140+E147+E152+E158+E159</f>
        <v>13230398</v>
      </c>
      <c r="F160" s="659"/>
    </row>
    <row r="161" spans="1:6" s="169" customFormat="1" ht="12.75" customHeight="1" thickBot="1">
      <c r="A161" s="103" t="s">
        <v>16</v>
      </c>
      <c r="B161" s="144" t="s">
        <v>369</v>
      </c>
      <c r="C161" s="236">
        <f>+C135+C160</f>
        <v>668399393</v>
      </c>
      <c r="D161" s="248">
        <f>+D135+D160</f>
        <v>726459205</v>
      </c>
      <c r="E161" s="230">
        <f>+E135+E160</f>
        <v>541253610</v>
      </c>
      <c r="F161" s="659"/>
    </row>
    <row r="162" spans="3:4" ht="15">
      <c r="C162" s="603">
        <f>C93-C161</f>
        <v>0</v>
      </c>
      <c r="D162" s="603">
        <f>D93-D161</f>
        <v>0</v>
      </c>
    </row>
    <row r="163" spans="1:6" ht="15">
      <c r="A163" s="753" t="s">
        <v>276</v>
      </c>
      <c r="B163" s="753"/>
      <c r="C163" s="753"/>
      <c r="D163" s="753"/>
      <c r="E163" s="753"/>
      <c r="F163" s="641"/>
    </row>
    <row r="164" spans="1:6" ht="15" customHeight="1" thickBot="1">
      <c r="A164" s="745" t="s">
        <v>101</v>
      </c>
      <c r="B164" s="745"/>
      <c r="C164" s="105"/>
      <c r="E164" s="105" t="str">
        <f>E96</f>
        <v> Forintban!</v>
      </c>
      <c r="F164" s="657"/>
    </row>
    <row r="165" spans="1:6" ht="25.5" customHeight="1" thickBot="1">
      <c r="A165" s="18">
        <v>1</v>
      </c>
      <c r="B165" s="23" t="s">
        <v>371</v>
      </c>
      <c r="C165" s="240">
        <f>+C68-C135</f>
        <v>-122064280</v>
      </c>
      <c r="D165" s="157">
        <f>+D68-D135</f>
        <v>-161851784</v>
      </c>
      <c r="E165" s="93">
        <f>+E68-E135</f>
        <v>17555489</v>
      </c>
      <c r="F165" s="650"/>
    </row>
    <row r="166" spans="1:6" ht="32.25" customHeight="1" thickBot="1">
      <c r="A166" s="18" t="s">
        <v>7</v>
      </c>
      <c r="B166" s="23" t="s">
        <v>377</v>
      </c>
      <c r="C166" s="157">
        <f>+C92-C160</f>
        <v>122064280</v>
      </c>
      <c r="D166" s="157">
        <f>+D92-D160</f>
        <v>161851784</v>
      </c>
      <c r="E166" s="93">
        <f>+E92-E160</f>
        <v>161851784</v>
      </c>
      <c r="F166" s="650"/>
    </row>
  </sheetData>
  <sheetProtection/>
  <mergeCells count="16">
    <mergeCell ref="A2:E2"/>
    <mergeCell ref="A3:E3"/>
    <mergeCell ref="A4:E4"/>
    <mergeCell ref="B1:E1"/>
    <mergeCell ref="A6:E6"/>
    <mergeCell ref="A7:B7"/>
    <mergeCell ref="A97:A98"/>
    <mergeCell ref="B97:B98"/>
    <mergeCell ref="C97:E97"/>
    <mergeCell ref="A163:E163"/>
    <mergeCell ref="A164:B164"/>
    <mergeCell ref="C8:E8"/>
    <mergeCell ref="A95:E95"/>
    <mergeCell ref="A96:B96"/>
    <mergeCell ref="A8:A9"/>
    <mergeCell ref="B8:B9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="120" zoomScaleNormal="120" workbookViewId="0" topLeftCell="A1">
      <selection activeCell="E16" sqref="E16"/>
    </sheetView>
  </sheetViews>
  <sheetFormatPr defaultColWidth="9.375" defaultRowHeight="12.75"/>
  <cols>
    <col min="1" max="1" width="6.75390625" style="28" customWidth="1"/>
    <col min="2" max="2" width="50.375" style="27" customWidth="1"/>
    <col min="3" max="4" width="12.75390625" style="27" customWidth="1"/>
    <col min="5" max="5" width="14.75390625" style="27" customWidth="1"/>
    <col min="6" max="6" width="13.75390625" style="27" customWidth="1"/>
    <col min="7" max="7" width="15.50390625" style="27" customWidth="1"/>
    <col min="8" max="8" width="16.75390625" style="27" customWidth="1"/>
    <col min="9" max="9" width="5.625" style="27" customWidth="1"/>
    <col min="10" max="10" width="9.375" style="27" customWidth="1"/>
    <col min="11" max="11" width="23.375" style="27" customWidth="1"/>
    <col min="12" max="12" width="27.50390625" style="27" customWidth="1"/>
    <col min="13" max="16384" width="9.375" style="27" customWidth="1"/>
  </cols>
  <sheetData>
    <row r="1" spans="1:8" ht="17.25" customHeight="1">
      <c r="A1" s="768" t="s">
        <v>777</v>
      </c>
      <c r="B1" s="829"/>
      <c r="C1" s="829"/>
      <c r="D1" s="829"/>
      <c r="E1" s="829"/>
      <c r="F1" s="829"/>
      <c r="G1" s="829"/>
      <c r="H1" s="829"/>
    </row>
    <row r="2" spans="1:8" ht="12.75">
      <c r="A2" s="390"/>
      <c r="B2" s="391"/>
      <c r="C2" s="391"/>
      <c r="D2" s="391"/>
      <c r="E2" s="391"/>
      <c r="F2" s="391"/>
      <c r="G2" s="391"/>
      <c r="H2" s="391"/>
    </row>
    <row r="3" spans="1:9" s="420" customFormat="1" ht="14.25" thickBot="1">
      <c r="A3" s="554"/>
      <c r="B3" s="389"/>
      <c r="C3" s="389"/>
      <c r="D3" s="389"/>
      <c r="E3" s="389"/>
      <c r="F3" s="389"/>
      <c r="G3" s="389"/>
      <c r="H3" s="399"/>
      <c r="I3" s="830" t="str">
        <f>CONCATENATE("3. tájékoztató tábla ",Z_ALAPADATOK!A7," ",Z_ALAPADATOK!B7," ",Z_ALAPADATOK!C7," ",Z_ALAPADATOK!D7," ",Z_ALAPADATOK!E7," ",Z_ALAPADATOK!F7," ",Z_ALAPADATOK!G7," ",Z_ALAPADATOK!H7)</f>
        <v>3. tájékoztató tábla a … / 2020. ( … ) önkormányzati rendelethez</v>
      </c>
    </row>
    <row r="4" spans="1:9" s="418" customFormat="1" ht="26.25" customHeight="1">
      <c r="A4" s="831" t="s">
        <v>52</v>
      </c>
      <c r="B4" s="833" t="s">
        <v>525</v>
      </c>
      <c r="C4" s="831" t="s">
        <v>526</v>
      </c>
      <c r="D4" s="831" t="s">
        <v>527</v>
      </c>
      <c r="E4" s="835" t="s">
        <v>914</v>
      </c>
      <c r="F4" s="837" t="s">
        <v>528</v>
      </c>
      <c r="G4" s="838"/>
      <c r="H4" s="839" t="s">
        <v>714</v>
      </c>
      <c r="I4" s="830"/>
    </row>
    <row r="5" spans="1:9" s="419" customFormat="1" ht="40.5" customHeight="1" thickBot="1">
      <c r="A5" s="832"/>
      <c r="B5" s="834"/>
      <c r="C5" s="834"/>
      <c r="D5" s="832"/>
      <c r="E5" s="836"/>
      <c r="F5" s="555" t="s">
        <v>712</v>
      </c>
      <c r="G5" s="556" t="s">
        <v>713</v>
      </c>
      <c r="H5" s="840"/>
      <c r="I5" s="830"/>
    </row>
    <row r="6" spans="1:9" s="421" customFormat="1" ht="12.75" customHeight="1" thickBot="1">
      <c r="A6" s="557" t="s">
        <v>381</v>
      </c>
      <c r="B6" s="558" t="s">
        <v>382</v>
      </c>
      <c r="C6" s="558" t="s">
        <v>383</v>
      </c>
      <c r="D6" s="559" t="s">
        <v>385</v>
      </c>
      <c r="E6" s="557" t="s">
        <v>384</v>
      </c>
      <c r="F6" s="559" t="s">
        <v>386</v>
      </c>
      <c r="G6" s="559" t="s">
        <v>387</v>
      </c>
      <c r="H6" s="360" t="s">
        <v>388</v>
      </c>
      <c r="I6" s="830"/>
    </row>
    <row r="7" spans="1:9" ht="22.5" customHeight="1" thickBot="1">
      <c r="A7" s="422" t="s">
        <v>6</v>
      </c>
      <c r="B7" s="423" t="s">
        <v>529</v>
      </c>
      <c r="C7" s="424"/>
      <c r="D7" s="425"/>
      <c r="E7" s="426">
        <f>SUM(E8:E20)</f>
        <v>4014277</v>
      </c>
      <c r="F7" s="427">
        <f>SUM(F8:F20)</f>
        <v>2886177</v>
      </c>
      <c r="G7" s="427">
        <f>SUM(G8:G20)</f>
        <v>2262177</v>
      </c>
      <c r="H7" s="428">
        <f>SUM(H8:H20)</f>
        <v>1684377</v>
      </c>
      <c r="I7" s="830"/>
    </row>
    <row r="8" spans="1:13" ht="22.5" customHeight="1">
      <c r="A8" s="429" t="s">
        <v>7</v>
      </c>
      <c r="B8" s="721" t="s">
        <v>941</v>
      </c>
      <c r="C8" s="708">
        <v>2015</v>
      </c>
      <c r="D8" s="709">
        <v>2021</v>
      </c>
      <c r="E8" s="432">
        <v>105000</v>
      </c>
      <c r="F8" s="21">
        <v>54600</v>
      </c>
      <c r="G8" s="21">
        <v>4200</v>
      </c>
      <c r="H8" s="433"/>
      <c r="I8" s="830"/>
      <c r="K8" s="716"/>
      <c r="L8" s="715"/>
      <c r="M8" s="714"/>
    </row>
    <row r="9" spans="1:13" ht="22.5" customHeight="1">
      <c r="A9" s="429" t="s">
        <v>9</v>
      </c>
      <c r="B9" s="721" t="s">
        <v>941</v>
      </c>
      <c r="C9" s="708">
        <v>2016</v>
      </c>
      <c r="D9" s="709">
        <v>2024</v>
      </c>
      <c r="E9" s="432">
        <v>317200</v>
      </c>
      <c r="F9" s="21">
        <v>254800</v>
      </c>
      <c r="G9" s="21">
        <v>192400</v>
      </c>
      <c r="H9" s="433">
        <v>130000</v>
      </c>
      <c r="I9" s="830"/>
      <c r="K9" s="714"/>
      <c r="L9" s="715"/>
      <c r="M9" s="714"/>
    </row>
    <row r="10" spans="1:13" ht="22.5" customHeight="1">
      <c r="A10" s="429" t="s">
        <v>10</v>
      </c>
      <c r="B10" s="721" t="s">
        <v>941</v>
      </c>
      <c r="C10" s="708">
        <v>2016</v>
      </c>
      <c r="D10" s="709">
        <v>2024</v>
      </c>
      <c r="E10" s="432">
        <v>226300</v>
      </c>
      <c r="F10" s="21">
        <v>182500</v>
      </c>
      <c r="G10" s="21">
        <v>138700</v>
      </c>
      <c r="H10" s="433">
        <v>94900</v>
      </c>
      <c r="I10" s="830"/>
      <c r="K10" s="717"/>
      <c r="L10" s="715"/>
      <c r="M10" s="714"/>
    </row>
    <row r="11" spans="1:13" ht="22.5" customHeight="1">
      <c r="A11" s="429" t="s">
        <v>11</v>
      </c>
      <c r="B11" s="721" t="s">
        <v>941</v>
      </c>
      <c r="C11" s="708">
        <v>2016</v>
      </c>
      <c r="D11" s="709">
        <v>2024</v>
      </c>
      <c r="E11" s="432">
        <v>238350</v>
      </c>
      <c r="F11" s="21">
        <v>175950</v>
      </c>
      <c r="G11" s="21">
        <v>113550</v>
      </c>
      <c r="H11" s="433">
        <v>51150</v>
      </c>
      <c r="I11" s="830"/>
      <c r="K11" s="717"/>
      <c r="L11" s="715"/>
      <c r="M11" s="714"/>
    </row>
    <row r="12" spans="1:13" ht="22.5" customHeight="1">
      <c r="A12" s="429" t="s">
        <v>12</v>
      </c>
      <c r="B12" s="721" t="s">
        <v>941</v>
      </c>
      <c r="C12" s="718">
        <v>2017</v>
      </c>
      <c r="D12" s="719">
        <v>2025</v>
      </c>
      <c r="E12" s="720">
        <v>261450</v>
      </c>
      <c r="F12" s="21">
        <v>211650</v>
      </c>
      <c r="G12" s="21">
        <v>161850</v>
      </c>
      <c r="H12" s="433">
        <v>112050</v>
      </c>
      <c r="I12" s="830"/>
      <c r="K12" s="714"/>
      <c r="L12" s="715"/>
      <c r="M12" s="714"/>
    </row>
    <row r="13" spans="1:13" ht="22.5" customHeight="1">
      <c r="A13" s="429" t="s">
        <v>13</v>
      </c>
      <c r="B13" s="721" t="s">
        <v>941</v>
      </c>
      <c r="C13" s="430">
        <v>2018</v>
      </c>
      <c r="D13" s="430">
        <v>2027</v>
      </c>
      <c r="E13" s="735">
        <v>442000</v>
      </c>
      <c r="F13" s="21">
        <v>379600</v>
      </c>
      <c r="G13" s="21">
        <v>317200</v>
      </c>
      <c r="H13" s="433">
        <v>254800</v>
      </c>
      <c r="I13" s="830"/>
      <c r="K13" s="714"/>
      <c r="L13" s="715"/>
      <c r="M13" s="714"/>
    </row>
    <row r="14" spans="1:13" ht="22.5" customHeight="1">
      <c r="A14" s="429" t="s">
        <v>14</v>
      </c>
      <c r="B14" s="721" t="s">
        <v>941</v>
      </c>
      <c r="C14" s="430">
        <v>2018</v>
      </c>
      <c r="D14" s="430">
        <v>2027</v>
      </c>
      <c r="E14" s="735">
        <v>230677</v>
      </c>
      <c r="F14" s="21">
        <v>188677</v>
      </c>
      <c r="G14" s="21">
        <v>146677</v>
      </c>
      <c r="H14" s="433">
        <v>104677</v>
      </c>
      <c r="I14" s="830"/>
      <c r="K14" s="714"/>
      <c r="L14" s="715"/>
      <c r="M14" s="714"/>
    </row>
    <row r="15" spans="1:13" ht="22.5" customHeight="1">
      <c r="A15" s="429" t="s">
        <v>15</v>
      </c>
      <c r="B15" s="721" t="s">
        <v>941</v>
      </c>
      <c r="C15" s="430">
        <v>2018</v>
      </c>
      <c r="D15" s="430">
        <v>2025</v>
      </c>
      <c r="E15" s="735">
        <v>130000</v>
      </c>
      <c r="F15" s="21">
        <v>88600</v>
      </c>
      <c r="G15" s="21">
        <v>47200</v>
      </c>
      <c r="H15" s="433">
        <v>5800</v>
      </c>
      <c r="I15" s="830"/>
      <c r="K15" s="714"/>
      <c r="L15" s="715"/>
      <c r="M15" s="714"/>
    </row>
    <row r="16" spans="1:13" ht="22.5" customHeight="1">
      <c r="A16" s="429" t="s">
        <v>16</v>
      </c>
      <c r="B16" s="721" t="s">
        <v>941</v>
      </c>
      <c r="C16" s="430">
        <v>2018</v>
      </c>
      <c r="D16" s="430">
        <v>2027</v>
      </c>
      <c r="E16" s="735">
        <v>457600</v>
      </c>
      <c r="F16" s="21">
        <v>395200</v>
      </c>
      <c r="G16" s="21">
        <v>332800</v>
      </c>
      <c r="H16" s="433">
        <v>270400</v>
      </c>
      <c r="I16" s="830"/>
      <c r="K16" s="714"/>
      <c r="L16" s="715"/>
      <c r="M16" s="714"/>
    </row>
    <row r="17" spans="1:13" ht="22.5" customHeight="1">
      <c r="A17" s="429" t="s">
        <v>17</v>
      </c>
      <c r="B17" s="721" t="s">
        <v>941</v>
      </c>
      <c r="C17" s="430">
        <v>2019</v>
      </c>
      <c r="D17" s="431">
        <v>2026</v>
      </c>
      <c r="E17" s="432">
        <v>224000</v>
      </c>
      <c r="F17" s="21">
        <v>186000</v>
      </c>
      <c r="G17" s="21">
        <v>148800</v>
      </c>
      <c r="H17" s="433">
        <v>111600</v>
      </c>
      <c r="I17" s="830"/>
      <c r="K17" s="714"/>
      <c r="L17" s="715"/>
      <c r="M17" s="714"/>
    </row>
    <row r="18" spans="1:13" ht="22.5" customHeight="1">
      <c r="A18" s="429" t="s">
        <v>18</v>
      </c>
      <c r="B18" s="721" t="s">
        <v>941</v>
      </c>
      <c r="C18" s="430">
        <v>2019</v>
      </c>
      <c r="D18" s="431">
        <v>2028</v>
      </c>
      <c r="E18" s="432">
        <v>494000</v>
      </c>
      <c r="F18" s="21">
        <v>0</v>
      </c>
      <c r="G18" s="21"/>
      <c r="H18" s="433"/>
      <c r="I18" s="830"/>
      <c r="K18" s="714"/>
      <c r="L18" s="715"/>
      <c r="M18" s="714"/>
    </row>
    <row r="19" spans="1:13" ht="22.5" customHeight="1">
      <c r="A19" s="429" t="s">
        <v>19</v>
      </c>
      <c r="B19" s="721" t="s">
        <v>941</v>
      </c>
      <c r="C19" s="430">
        <v>2018</v>
      </c>
      <c r="D19" s="431">
        <v>2028</v>
      </c>
      <c r="E19" s="432">
        <v>400000</v>
      </c>
      <c r="F19" s="21">
        <v>348600</v>
      </c>
      <c r="G19" s="21">
        <v>298800</v>
      </c>
      <c r="H19" s="433">
        <v>249000</v>
      </c>
      <c r="I19" s="830"/>
      <c r="K19" s="714"/>
      <c r="L19" s="715"/>
      <c r="M19" s="714"/>
    </row>
    <row r="20" spans="1:13" ht="22.5" customHeight="1" thickBot="1">
      <c r="A20" s="429" t="s">
        <v>20</v>
      </c>
      <c r="B20" s="721" t="s">
        <v>941</v>
      </c>
      <c r="C20" s="430">
        <v>2019</v>
      </c>
      <c r="D20" s="431">
        <v>2028</v>
      </c>
      <c r="E20" s="432">
        <v>487700</v>
      </c>
      <c r="F20" s="21">
        <v>420000</v>
      </c>
      <c r="G20" s="21">
        <v>360000</v>
      </c>
      <c r="H20" s="433">
        <v>300000</v>
      </c>
      <c r="I20" s="830"/>
      <c r="K20" s="714"/>
      <c r="L20" s="715"/>
      <c r="M20" s="714"/>
    </row>
    <row r="21" spans="1:13" ht="22.5" customHeight="1" thickBot="1">
      <c r="A21" s="429" t="s">
        <v>21</v>
      </c>
      <c r="B21" s="423" t="s">
        <v>530</v>
      </c>
      <c r="C21" s="434"/>
      <c r="D21" s="435"/>
      <c r="E21" s="426">
        <f>SUM(E22:E28)</f>
        <v>668988</v>
      </c>
      <c r="F21" s="427">
        <f>SUM(F22:F28)</f>
        <v>409872</v>
      </c>
      <c r="G21" s="427">
        <f>SUM(G22:G28)</f>
        <v>169901</v>
      </c>
      <c r="H21" s="428">
        <f>SUM(H22:H28)</f>
        <v>85471</v>
      </c>
      <c r="I21" s="830"/>
      <c r="L21" s="715"/>
      <c r="M21" s="714"/>
    </row>
    <row r="22" spans="1:13" ht="22.5" customHeight="1">
      <c r="A22" s="429" t="s">
        <v>22</v>
      </c>
      <c r="B22" s="721" t="s">
        <v>942</v>
      </c>
      <c r="C22" s="708">
        <v>1997</v>
      </c>
      <c r="D22" s="709">
        <v>2021</v>
      </c>
      <c r="E22" s="710">
        <v>78364</v>
      </c>
      <c r="F22" s="21">
        <v>42196</v>
      </c>
      <c r="G22" s="21">
        <v>6028</v>
      </c>
      <c r="H22" s="433"/>
      <c r="I22" s="830"/>
      <c r="L22" s="715"/>
      <c r="M22" s="714"/>
    </row>
    <row r="23" spans="1:13" ht="22.5" customHeight="1">
      <c r="A23" s="429" t="s">
        <v>23</v>
      </c>
      <c r="B23" s="721" t="s">
        <v>942</v>
      </c>
      <c r="C23" s="708">
        <v>1997</v>
      </c>
      <c r="D23" s="709">
        <v>2022</v>
      </c>
      <c r="E23" s="710">
        <v>84780</v>
      </c>
      <c r="F23" s="21">
        <v>47100</v>
      </c>
      <c r="G23" s="21">
        <v>9420</v>
      </c>
      <c r="H23" s="433"/>
      <c r="I23" s="830"/>
      <c r="L23" s="715"/>
      <c r="M23" s="714"/>
    </row>
    <row r="24" spans="1:9" ht="22.5" customHeight="1">
      <c r="A24" s="429" t="s">
        <v>24</v>
      </c>
      <c r="B24" s="721" t="s">
        <v>942</v>
      </c>
      <c r="C24" s="708">
        <v>1997</v>
      </c>
      <c r="D24" s="709">
        <v>2021</v>
      </c>
      <c r="E24" s="710">
        <v>46495</v>
      </c>
      <c r="F24" s="21">
        <v>13675</v>
      </c>
      <c r="G24" s="21"/>
      <c r="H24" s="433"/>
      <c r="I24" s="830"/>
    </row>
    <row r="25" spans="1:9" ht="22.5" customHeight="1">
      <c r="A25" s="429" t="s">
        <v>25</v>
      </c>
      <c r="B25" s="721" t="s">
        <v>942</v>
      </c>
      <c r="C25" s="711">
        <v>1997</v>
      </c>
      <c r="D25" s="708">
        <v>2022</v>
      </c>
      <c r="E25" s="712">
        <v>183463</v>
      </c>
      <c r="F25" s="21">
        <v>150799</v>
      </c>
      <c r="G25" s="21">
        <v>118135</v>
      </c>
      <c r="H25" s="433">
        <v>85471</v>
      </c>
      <c r="I25" s="830"/>
    </row>
    <row r="26" spans="1:9" ht="22.5" customHeight="1">
      <c r="A26" s="429" t="s">
        <v>26</v>
      </c>
      <c r="B26" s="721" t="s">
        <v>942</v>
      </c>
      <c r="C26" s="711">
        <v>1997</v>
      </c>
      <c r="D26" s="708">
        <v>2022</v>
      </c>
      <c r="E26" s="712">
        <v>95004</v>
      </c>
      <c r="F26" s="21">
        <v>55692</v>
      </c>
      <c r="G26" s="21">
        <v>16380</v>
      </c>
      <c r="H26" s="433"/>
      <c r="I26" s="830"/>
    </row>
    <row r="27" spans="1:9" ht="22.5" customHeight="1">
      <c r="A27" s="429" t="s">
        <v>27</v>
      </c>
      <c r="B27" s="721" t="s">
        <v>942</v>
      </c>
      <c r="C27" s="711">
        <v>1997</v>
      </c>
      <c r="D27" s="708">
        <v>2022</v>
      </c>
      <c r="E27" s="712">
        <v>93210</v>
      </c>
      <c r="F27" s="21">
        <v>53202</v>
      </c>
      <c r="G27" s="21">
        <v>13194</v>
      </c>
      <c r="H27" s="433"/>
      <c r="I27" s="830"/>
    </row>
    <row r="28" spans="1:9" ht="22.5" customHeight="1" thickBot="1">
      <c r="A28" s="429" t="s">
        <v>28</v>
      </c>
      <c r="B28" s="721" t="s">
        <v>942</v>
      </c>
      <c r="C28" s="713">
        <v>1997</v>
      </c>
      <c r="D28" s="708">
        <v>2022</v>
      </c>
      <c r="E28" s="712">
        <v>87672</v>
      </c>
      <c r="F28" s="21">
        <v>47208</v>
      </c>
      <c r="G28" s="21">
        <v>6744</v>
      </c>
      <c r="H28" s="433"/>
      <c r="I28" s="830"/>
    </row>
    <row r="29" spans="1:9" ht="22.5" customHeight="1" thickBot="1">
      <c r="A29" s="429" t="s">
        <v>29</v>
      </c>
      <c r="B29" s="423" t="s">
        <v>531</v>
      </c>
      <c r="C29" s="424"/>
      <c r="D29" s="425"/>
      <c r="E29" s="426">
        <f>E7+E21</f>
        <v>4683265</v>
      </c>
      <c r="F29" s="427">
        <f>F7+F21</f>
        <v>3296049</v>
      </c>
      <c r="G29" s="427">
        <f>G7+G21</f>
        <v>2432078</v>
      </c>
      <c r="H29" s="428">
        <f>H7+H21</f>
        <v>1769848</v>
      </c>
      <c r="I29" s="830"/>
    </row>
    <row r="30" ht="19.5" customHeight="1"/>
  </sheetData>
  <sheetProtection/>
  <mergeCells count="9">
    <mergeCell ref="A1:H1"/>
    <mergeCell ref="I3:I29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13" sqref="A1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64" t="s">
        <v>520</v>
      </c>
      <c r="B1" s="76"/>
    </row>
    <row r="2" spans="1:2" ht="12.75">
      <c r="A2" s="76"/>
      <c r="B2" s="76"/>
    </row>
    <row r="3" spans="1:2" ht="12.75">
      <c r="A3" s="266"/>
      <c r="B3" s="266"/>
    </row>
    <row r="4" spans="1:2" ht="15">
      <c r="A4" s="78"/>
      <c r="B4" s="270"/>
    </row>
    <row r="5" spans="1:2" ht="15">
      <c r="A5" s="78"/>
      <c r="B5" s="270"/>
    </row>
    <row r="6" spans="1:2" s="67" customFormat="1" ht="15">
      <c r="A6" s="78" t="s">
        <v>808</v>
      </c>
      <c r="B6" s="266"/>
    </row>
    <row r="7" spans="1:2" s="67" customFormat="1" ht="12.75">
      <c r="A7" s="266"/>
      <c r="B7" s="266"/>
    </row>
    <row r="8" spans="1:2" s="67" customFormat="1" ht="12.75">
      <c r="A8" s="266"/>
      <c r="B8" s="266"/>
    </row>
    <row r="9" spans="1:2" ht="12.75">
      <c r="A9" s="266" t="s">
        <v>460</v>
      </c>
      <c r="B9" s="266" t="s">
        <v>421</v>
      </c>
    </row>
    <row r="10" spans="1:2" ht="12.75">
      <c r="A10" s="266" t="s">
        <v>458</v>
      </c>
      <c r="B10" s="266" t="s">
        <v>427</v>
      </c>
    </row>
    <row r="11" spans="1:2" ht="12.75">
      <c r="A11" s="266" t="s">
        <v>459</v>
      </c>
      <c r="B11" s="266" t="s">
        <v>428</v>
      </c>
    </row>
    <row r="12" spans="1:2" ht="12.75">
      <c r="A12" s="266"/>
      <c r="B12" s="266"/>
    </row>
    <row r="13" spans="1:2" ht="15">
      <c r="A13" s="78" t="str">
        <f>+CONCATENATE(LEFT(A6,4),". évi módosított előirányzat BEVÉTELEK")</f>
        <v>2019. évi módosított előirányzat BEVÉTELEK</v>
      </c>
      <c r="B13" s="270"/>
    </row>
    <row r="14" spans="1:2" ht="12.75">
      <c r="A14" s="266"/>
      <c r="B14" s="266"/>
    </row>
    <row r="15" spans="1:2" s="67" customFormat="1" ht="12.75">
      <c r="A15" s="266" t="s">
        <v>461</v>
      </c>
      <c r="B15" s="266" t="s">
        <v>422</v>
      </c>
    </row>
    <row r="16" spans="1:2" ht="12.75">
      <c r="A16" s="266" t="s">
        <v>462</v>
      </c>
      <c r="B16" s="266" t="s">
        <v>429</v>
      </c>
    </row>
    <row r="17" spans="1:2" ht="12.75">
      <c r="A17" s="266" t="s">
        <v>463</v>
      </c>
      <c r="B17" s="266" t="s">
        <v>430</v>
      </c>
    </row>
    <row r="18" spans="1:2" ht="12.75">
      <c r="A18" s="266"/>
      <c r="B18" s="266"/>
    </row>
    <row r="19" spans="1:2" ht="13.5">
      <c r="A19" s="273" t="str">
        <f>+CONCATENATE(LEFT(A6,4),".évi teljesített BEVÉTELEK")</f>
        <v>2019.évi teljesített BEVÉTELEK</v>
      </c>
      <c r="B19" s="270"/>
    </row>
    <row r="20" spans="1:2" ht="12.75">
      <c r="A20" s="266"/>
      <c r="B20" s="266"/>
    </row>
    <row r="21" spans="1:2" ht="12.75">
      <c r="A21" s="266" t="s">
        <v>464</v>
      </c>
      <c r="B21" s="266" t="s">
        <v>423</v>
      </c>
    </row>
    <row r="22" spans="1:2" ht="12.75">
      <c r="A22" s="266" t="s">
        <v>465</v>
      </c>
      <c r="B22" s="266" t="s">
        <v>431</v>
      </c>
    </row>
    <row r="23" spans="1:2" ht="12.75">
      <c r="A23" s="266" t="s">
        <v>466</v>
      </c>
      <c r="B23" s="266" t="s">
        <v>432</v>
      </c>
    </row>
    <row r="24" spans="1:2" ht="12.75">
      <c r="A24" s="266"/>
      <c r="B24" s="266"/>
    </row>
    <row r="25" spans="1:2" ht="15">
      <c r="A25" s="78" t="str">
        <f>+CONCATENATE(LEFT(A6,4),". évi eredeti előirányzat KIADÁSOK")</f>
        <v>2019. évi eredeti előirányzat KIADÁSOK</v>
      </c>
      <c r="B25" s="270"/>
    </row>
    <row r="26" spans="1:2" ht="12.75">
      <c r="A26" s="266"/>
      <c r="B26" s="266"/>
    </row>
    <row r="27" spans="1:2" ht="12.75">
      <c r="A27" s="266" t="s">
        <v>467</v>
      </c>
      <c r="B27" s="266" t="s">
        <v>424</v>
      </c>
    </row>
    <row r="28" spans="1:2" ht="12.75">
      <c r="A28" s="266" t="s">
        <v>468</v>
      </c>
      <c r="B28" s="266" t="s">
        <v>433</v>
      </c>
    </row>
    <row r="29" spans="1:2" ht="12.75">
      <c r="A29" s="266" t="s">
        <v>469</v>
      </c>
      <c r="B29" s="266" t="s">
        <v>434</v>
      </c>
    </row>
    <row r="30" spans="1:2" ht="12.75">
      <c r="A30" s="266"/>
      <c r="B30" s="266"/>
    </row>
    <row r="31" spans="1:2" ht="15">
      <c r="A31" s="78" t="str">
        <f>+CONCATENATE(LEFT(A6,4),". évi módosított előirányzat KIADÁSOK")</f>
        <v>2019. évi módosított előirányzat KIADÁSOK</v>
      </c>
      <c r="B31" s="270"/>
    </row>
    <row r="32" spans="1:2" ht="12.75">
      <c r="A32" s="266"/>
      <c r="B32" s="266"/>
    </row>
    <row r="33" spans="1:2" ht="12.75">
      <c r="A33" s="266" t="s">
        <v>470</v>
      </c>
      <c r="B33" s="266" t="s">
        <v>425</v>
      </c>
    </row>
    <row r="34" spans="1:2" ht="12.75">
      <c r="A34" s="266" t="s">
        <v>471</v>
      </c>
      <c r="B34" s="266" t="s">
        <v>435</v>
      </c>
    </row>
    <row r="35" spans="1:2" ht="12.75">
      <c r="A35" s="266" t="s">
        <v>472</v>
      </c>
      <c r="B35" s="266" t="s">
        <v>436</v>
      </c>
    </row>
    <row r="36" spans="1:2" ht="12.75">
      <c r="A36" s="266"/>
      <c r="B36" s="266"/>
    </row>
    <row r="37" spans="1:2" ht="15">
      <c r="A37" s="272" t="str">
        <f>+CONCATENATE(LEFT(A6,4),".évi teljesített KIADÁSOK")</f>
        <v>2019.évi teljesített KIADÁSOK</v>
      </c>
      <c r="B37" s="270"/>
    </row>
    <row r="38" spans="1:2" ht="12.75">
      <c r="A38" s="266"/>
      <c r="B38" s="266"/>
    </row>
    <row r="39" spans="1:2" ht="12.75">
      <c r="A39" s="266" t="s">
        <v>473</v>
      </c>
      <c r="B39" s="266" t="s">
        <v>426</v>
      </c>
    </row>
    <row r="40" spans="1:2" ht="12.75">
      <c r="A40" s="266" t="s">
        <v>474</v>
      </c>
      <c r="B40" s="266" t="s">
        <v>437</v>
      </c>
    </row>
    <row r="41" spans="1:2" ht="12.75">
      <c r="A41" s="266" t="s">
        <v>475</v>
      </c>
      <c r="B41" s="266" t="s">
        <v>438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="120" zoomScaleNormal="120" workbookViewId="0" topLeftCell="A4">
      <selection activeCell="F13" sqref="F13:F14"/>
    </sheetView>
  </sheetViews>
  <sheetFormatPr defaultColWidth="9.375" defaultRowHeight="12.75"/>
  <cols>
    <col min="1" max="1" width="5.75390625" style="453" customWidth="1"/>
    <col min="2" max="2" width="55.75390625" style="2" customWidth="1"/>
    <col min="3" max="4" width="14.75390625" style="2" customWidth="1"/>
    <col min="5" max="5" width="9.375" style="2" customWidth="1"/>
    <col min="6" max="6" width="10.875" style="2" bestFit="1" customWidth="1"/>
    <col min="7" max="16384" width="9.375" style="2" customWidth="1"/>
  </cols>
  <sheetData>
    <row r="1" spans="1:4" ht="13.5">
      <c r="A1" s="842" t="str">
        <f>CONCATENATE("5. tájékoztató tábla ",Z_ALAPADATOK!A7," ",Z_ALAPADATOK!B7," ",Z_ALAPADATOK!C7," ",Z_ALAPADATOK!D7," ",Z_ALAPADATOK!E7," ",Z_ALAPADATOK!F7," ",Z_ALAPADATOK!G7," ",Z_ALAPADATOK!H7)</f>
        <v>5. tájékoztató tábla a … / 2020. ( … ) önkormányzati rendelethez</v>
      </c>
      <c r="B1" s="770"/>
      <c r="C1" s="770"/>
      <c r="D1" s="770"/>
    </row>
    <row r="2" spans="1:4" ht="12.75">
      <c r="A2" s="561"/>
      <c r="B2" s="562"/>
      <c r="C2" s="562"/>
      <c r="D2" s="562"/>
    </row>
    <row r="3" spans="1:4" ht="15">
      <c r="A3" s="843" t="s">
        <v>718</v>
      </c>
      <c r="B3" s="829"/>
      <c r="C3" s="829"/>
      <c r="D3" s="829"/>
    </row>
    <row r="4" spans="1:4" ht="15">
      <c r="A4" s="843" t="s">
        <v>719</v>
      </c>
      <c r="B4" s="829"/>
      <c r="C4" s="829"/>
      <c r="D4" s="829"/>
    </row>
    <row r="5" spans="1:4" s="420" customFormat="1" ht="14.25" thickBot="1">
      <c r="A5" s="554"/>
      <c r="B5" s="389"/>
      <c r="C5" s="389"/>
      <c r="D5" s="399">
        <f>'Z_2.tájékoztató_t.'!H3</f>
        <v>0</v>
      </c>
    </row>
    <row r="6" spans="1:4" s="46" customFormat="1" ht="48" customHeight="1" thickBot="1">
      <c r="A6" s="375" t="s">
        <v>4</v>
      </c>
      <c r="B6" s="382" t="s">
        <v>5</v>
      </c>
      <c r="C6" s="382" t="s">
        <v>532</v>
      </c>
      <c r="D6" s="563" t="s">
        <v>533</v>
      </c>
    </row>
    <row r="7" spans="1:4" s="46" customFormat="1" ht="13.5" customHeight="1" thickBot="1">
      <c r="A7" s="564" t="s">
        <v>381</v>
      </c>
      <c r="B7" s="565" t="s">
        <v>382</v>
      </c>
      <c r="C7" s="565" t="s">
        <v>383</v>
      </c>
      <c r="D7" s="566" t="s">
        <v>385</v>
      </c>
    </row>
    <row r="8" spans="1:4" ht="18" customHeight="1">
      <c r="A8" s="436" t="s">
        <v>6</v>
      </c>
      <c r="B8" s="437" t="s">
        <v>534</v>
      </c>
      <c r="C8" s="438"/>
      <c r="D8" s="439"/>
    </row>
    <row r="9" spans="1:4" ht="18" customHeight="1">
      <c r="A9" s="440" t="s">
        <v>7</v>
      </c>
      <c r="B9" s="441" t="s">
        <v>535</v>
      </c>
      <c r="C9" s="442"/>
      <c r="D9" s="443"/>
    </row>
    <row r="10" spans="1:4" ht="18" customHeight="1">
      <c r="A10" s="440" t="s">
        <v>8</v>
      </c>
      <c r="B10" s="441" t="s">
        <v>536</v>
      </c>
      <c r="C10" s="442"/>
      <c r="D10" s="443"/>
    </row>
    <row r="11" spans="1:4" ht="18" customHeight="1">
      <c r="A11" s="440" t="s">
        <v>9</v>
      </c>
      <c r="B11" s="441" t="s">
        <v>537</v>
      </c>
      <c r="C11" s="442"/>
      <c r="D11" s="443"/>
    </row>
    <row r="12" spans="1:4" ht="18" customHeight="1">
      <c r="A12" s="444" t="s">
        <v>10</v>
      </c>
      <c r="B12" s="441" t="s">
        <v>538</v>
      </c>
      <c r="C12" s="442">
        <f>SUM(C13:C14)</f>
        <v>201172789</v>
      </c>
      <c r="D12" s="442">
        <f>SUM(D13:D14)</f>
        <v>59335004</v>
      </c>
    </row>
    <row r="13" spans="1:6" ht="18" customHeight="1">
      <c r="A13" s="440" t="s">
        <v>11</v>
      </c>
      <c r="B13" s="441" t="s">
        <v>539</v>
      </c>
      <c r="C13" s="442">
        <v>194145174</v>
      </c>
      <c r="D13" s="443">
        <v>58247537</v>
      </c>
      <c r="F13" s="736"/>
    </row>
    <row r="14" spans="1:6" ht="18" customHeight="1">
      <c r="A14" s="444" t="s">
        <v>12</v>
      </c>
      <c r="B14" s="445" t="s">
        <v>540</v>
      </c>
      <c r="C14" s="442">
        <v>7027615</v>
      </c>
      <c r="D14" s="443">
        <v>1087467</v>
      </c>
      <c r="F14" s="736"/>
    </row>
    <row r="15" spans="1:4" ht="18" customHeight="1">
      <c r="A15" s="444" t="s">
        <v>13</v>
      </c>
      <c r="B15" s="445" t="s">
        <v>541</v>
      </c>
      <c r="C15" s="442"/>
      <c r="D15" s="443"/>
    </row>
    <row r="16" spans="1:4" ht="18" customHeight="1">
      <c r="A16" s="440" t="s">
        <v>14</v>
      </c>
      <c r="B16" s="445" t="s">
        <v>542</v>
      </c>
      <c r="C16" s="442"/>
      <c r="D16" s="443"/>
    </row>
    <row r="17" spans="1:4" ht="18" customHeight="1">
      <c r="A17" s="444" t="s">
        <v>15</v>
      </c>
      <c r="B17" s="445" t="s">
        <v>543</v>
      </c>
      <c r="C17" s="442"/>
      <c r="D17" s="443"/>
    </row>
    <row r="18" spans="1:4" ht="12.75">
      <c r="A18" s="440" t="s">
        <v>16</v>
      </c>
      <c r="B18" s="445" t="s">
        <v>544</v>
      </c>
      <c r="C18" s="442"/>
      <c r="D18" s="443"/>
    </row>
    <row r="19" spans="1:4" ht="18" customHeight="1">
      <c r="A19" s="444" t="s">
        <v>17</v>
      </c>
      <c r="B19" s="441" t="s">
        <v>545</v>
      </c>
      <c r="C19" s="442"/>
      <c r="D19" s="443"/>
    </row>
    <row r="20" spans="1:4" ht="18" customHeight="1">
      <c r="A20" s="440" t="s">
        <v>18</v>
      </c>
      <c r="B20" s="441" t="s">
        <v>546</v>
      </c>
      <c r="C20" s="442"/>
      <c r="D20" s="443"/>
    </row>
    <row r="21" spans="1:4" ht="18" customHeight="1">
      <c r="A21" s="444" t="s">
        <v>19</v>
      </c>
      <c r="B21" s="441" t="s">
        <v>547</v>
      </c>
      <c r="C21" s="442"/>
      <c r="D21" s="443"/>
    </row>
    <row r="22" spans="1:4" ht="18" customHeight="1">
      <c r="A22" s="440" t="s">
        <v>20</v>
      </c>
      <c r="B22" s="441" t="s">
        <v>548</v>
      </c>
      <c r="C22" s="442"/>
      <c r="D22" s="443"/>
    </row>
    <row r="23" spans="1:4" ht="18" customHeight="1">
      <c r="A23" s="444" t="s">
        <v>21</v>
      </c>
      <c r="B23" s="441" t="s">
        <v>549</v>
      </c>
      <c r="C23" s="442"/>
      <c r="D23" s="443"/>
    </row>
    <row r="24" spans="1:4" ht="18" customHeight="1">
      <c r="A24" s="440" t="s">
        <v>22</v>
      </c>
      <c r="B24" s="446"/>
      <c r="C24" s="442"/>
      <c r="D24" s="443"/>
    </row>
    <row r="25" spans="1:4" ht="18" customHeight="1">
      <c r="A25" s="444" t="s">
        <v>23</v>
      </c>
      <c r="B25" s="446"/>
      <c r="C25" s="442"/>
      <c r="D25" s="443"/>
    </row>
    <row r="26" spans="1:4" ht="18" customHeight="1">
      <c r="A26" s="440" t="s">
        <v>24</v>
      </c>
      <c r="B26" s="446"/>
      <c r="C26" s="442"/>
      <c r="D26" s="443"/>
    </row>
    <row r="27" spans="1:4" ht="18" customHeight="1">
      <c r="A27" s="444" t="s">
        <v>25</v>
      </c>
      <c r="B27" s="446"/>
      <c r="C27" s="442"/>
      <c r="D27" s="443"/>
    </row>
    <row r="28" spans="1:4" ht="18" customHeight="1">
      <c r="A28" s="440" t="s">
        <v>26</v>
      </c>
      <c r="B28" s="446"/>
      <c r="C28" s="442"/>
      <c r="D28" s="443"/>
    </row>
    <row r="29" spans="1:4" ht="18" customHeight="1">
      <c r="A29" s="444" t="s">
        <v>27</v>
      </c>
      <c r="B29" s="446"/>
      <c r="C29" s="442"/>
      <c r="D29" s="443"/>
    </row>
    <row r="30" spans="1:4" ht="18" customHeight="1">
      <c r="A30" s="440" t="s">
        <v>28</v>
      </c>
      <c r="B30" s="446"/>
      <c r="C30" s="442"/>
      <c r="D30" s="443"/>
    </row>
    <row r="31" spans="1:4" ht="18" customHeight="1">
      <c r="A31" s="444" t="s">
        <v>29</v>
      </c>
      <c r="B31" s="446"/>
      <c r="C31" s="442"/>
      <c r="D31" s="443"/>
    </row>
    <row r="32" spans="1:4" ht="18" customHeight="1" thickBot="1">
      <c r="A32" s="447" t="s">
        <v>30</v>
      </c>
      <c r="B32" s="448"/>
      <c r="C32" s="449"/>
      <c r="D32" s="450"/>
    </row>
    <row r="33" spans="1:4" ht="18" customHeight="1" thickBot="1">
      <c r="A33" s="451" t="s">
        <v>31</v>
      </c>
      <c r="B33" s="560" t="s">
        <v>38</v>
      </c>
      <c r="C33" s="427">
        <f>+C8+C9+C10+C11+C12+C19+C20+C21+C22+C23+C24+C25+C26+C27+C28+C29+C30+C31+C32</f>
        <v>201172789</v>
      </c>
      <c r="D33" s="428">
        <f>+D8+D9+D10+D11+D12+D19+D20+D21+D22+D23+D24+D25+D26+D27+D28+D29+D30+D31+D32</f>
        <v>59335004</v>
      </c>
    </row>
    <row r="34" spans="1:4" ht="25.5" customHeight="1">
      <c r="A34" s="452"/>
      <c r="B34" s="841" t="s">
        <v>550</v>
      </c>
      <c r="C34" s="841"/>
      <c r="D34" s="841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2"/>
  <sheetViews>
    <sheetView zoomScale="120" zoomScaleNormal="120" workbookViewId="0" topLeftCell="A4">
      <selection activeCell="K14" sqref="K14"/>
    </sheetView>
  </sheetViews>
  <sheetFormatPr defaultColWidth="9.375" defaultRowHeight="12.75"/>
  <cols>
    <col min="1" max="1" width="6.625" style="31" customWidth="1"/>
    <col min="2" max="2" width="40.75390625" style="31" customWidth="1"/>
    <col min="3" max="3" width="20.75390625" style="31" customWidth="1"/>
    <col min="4" max="5" width="12.75390625" style="31" customWidth="1"/>
    <col min="6" max="16384" width="9.375" style="31" customWidth="1"/>
  </cols>
  <sheetData>
    <row r="1" spans="1:5" ht="13.5">
      <c r="A1" s="846" t="str">
        <f>CONCATENATE("6. tájékoztató tábla ",Z_ALAPADATOK!A7," ",Z_ALAPADATOK!B7," ",Z_ALAPADATOK!C7," ",Z_ALAPADATOK!D7," ",Z_ALAPADATOK!E7," ",Z_ALAPADATOK!F7," ",Z_ALAPADATOK!G7," ",Z_ALAPADATOK!H7)</f>
        <v>6. tájékoztató tábla a … / 2020. ( … ) önkormányzati rendelethez</v>
      </c>
      <c r="B1" s="846"/>
      <c r="C1" s="846"/>
      <c r="D1" s="846"/>
      <c r="E1" s="846"/>
    </row>
    <row r="2" spans="1:5" ht="12.75">
      <c r="A2" s="68"/>
      <c r="B2" s="68"/>
      <c r="C2" s="68"/>
      <c r="D2" s="68"/>
      <c r="E2" s="68"/>
    </row>
    <row r="3" spans="1:5" ht="15">
      <c r="A3" s="798" t="s">
        <v>720</v>
      </c>
      <c r="B3" s="798"/>
      <c r="C3" s="798"/>
      <c r="D3" s="798"/>
      <c r="E3" s="798"/>
    </row>
    <row r="4" spans="1:5" ht="15">
      <c r="A4" s="798" t="s">
        <v>915</v>
      </c>
      <c r="B4" s="798"/>
      <c r="C4" s="798"/>
      <c r="D4" s="798"/>
      <c r="E4" s="798"/>
    </row>
    <row r="5" spans="1:5" ht="12.75">
      <c r="A5" s="68"/>
      <c r="B5" s="68"/>
      <c r="C5" s="68"/>
      <c r="D5" s="68"/>
      <c r="E5" s="68"/>
    </row>
    <row r="6" spans="1:5" ht="14.25" thickBot="1">
      <c r="A6" s="68"/>
      <c r="B6" s="68"/>
      <c r="C6" s="567"/>
      <c r="D6" s="567"/>
      <c r="E6" s="567">
        <f>'Z_3.tájékoztató_t.'!D5</f>
        <v>0</v>
      </c>
    </row>
    <row r="7" spans="1:5" ht="42.75" customHeight="1" thickBot="1">
      <c r="A7" s="568" t="s">
        <v>52</v>
      </c>
      <c r="B7" s="569" t="s">
        <v>551</v>
      </c>
      <c r="C7" s="569" t="s">
        <v>552</v>
      </c>
      <c r="D7" s="570" t="s">
        <v>943</v>
      </c>
      <c r="E7" s="571" t="s">
        <v>944</v>
      </c>
    </row>
    <row r="8" spans="1:5" ht="44.25" customHeight="1">
      <c r="A8" s="454" t="s">
        <v>6</v>
      </c>
      <c r="B8" s="722" t="s">
        <v>916</v>
      </c>
      <c r="C8" s="730" t="s">
        <v>946</v>
      </c>
      <c r="D8" s="455">
        <v>100000</v>
      </c>
      <c r="E8" s="456">
        <v>100000</v>
      </c>
    </row>
    <row r="9" spans="1:5" ht="15.75" customHeight="1">
      <c r="A9" s="457" t="s">
        <v>7</v>
      </c>
      <c r="B9" s="723" t="s">
        <v>917</v>
      </c>
      <c r="C9" s="458"/>
      <c r="D9" s="459">
        <v>350000</v>
      </c>
      <c r="E9" s="460">
        <v>0</v>
      </c>
    </row>
    <row r="10" spans="1:5" ht="42" customHeight="1">
      <c r="A10" s="457" t="s">
        <v>8</v>
      </c>
      <c r="B10" s="723" t="s">
        <v>918</v>
      </c>
      <c r="C10" s="725" t="s">
        <v>945</v>
      </c>
      <c r="D10" s="459">
        <v>100000</v>
      </c>
      <c r="E10" s="460">
        <v>100000</v>
      </c>
    </row>
    <row r="11" spans="1:5" ht="21.75" customHeight="1">
      <c r="A11" s="457" t="s">
        <v>9</v>
      </c>
      <c r="B11" s="723" t="s">
        <v>919</v>
      </c>
      <c r="C11" s="725" t="s">
        <v>927</v>
      </c>
      <c r="D11" s="459">
        <v>100000</v>
      </c>
      <c r="E11" s="460">
        <v>100000</v>
      </c>
    </row>
    <row r="12" spans="1:5" ht="15.75" customHeight="1">
      <c r="A12" s="457" t="s">
        <v>10</v>
      </c>
      <c r="B12" s="723" t="s">
        <v>920</v>
      </c>
      <c r="C12" s="458"/>
      <c r="D12" s="459">
        <v>300000</v>
      </c>
      <c r="E12" s="460">
        <v>0</v>
      </c>
    </row>
    <row r="13" spans="1:5" ht="15.75" customHeight="1">
      <c r="A13" s="457" t="s">
        <v>11</v>
      </c>
      <c r="B13" s="723" t="s">
        <v>921</v>
      </c>
      <c r="C13" s="458"/>
      <c r="D13" s="459">
        <v>70000</v>
      </c>
      <c r="E13" s="460">
        <v>0</v>
      </c>
    </row>
    <row r="14" spans="1:5" ht="15.75" customHeight="1">
      <c r="A14" s="457" t="s">
        <v>12</v>
      </c>
      <c r="B14" s="723" t="s">
        <v>922</v>
      </c>
      <c r="C14" s="458"/>
      <c r="D14" s="459">
        <v>100000</v>
      </c>
      <c r="E14" s="460">
        <v>100000</v>
      </c>
    </row>
    <row r="15" spans="1:5" ht="15.75" customHeight="1">
      <c r="A15" s="457" t="s">
        <v>13</v>
      </c>
      <c r="B15" s="723" t="s">
        <v>923</v>
      </c>
      <c r="C15" s="458"/>
      <c r="D15" s="459">
        <v>100000</v>
      </c>
      <c r="E15" s="460">
        <v>0</v>
      </c>
    </row>
    <row r="16" spans="1:5" ht="15.75" customHeight="1">
      <c r="A16" s="457" t="s">
        <v>14</v>
      </c>
      <c r="B16" s="723" t="s">
        <v>924</v>
      </c>
      <c r="C16" s="458" t="s">
        <v>947</v>
      </c>
      <c r="D16" s="459">
        <v>50000</v>
      </c>
      <c r="E16" s="460">
        <v>50000</v>
      </c>
    </row>
    <row r="17" spans="1:5" ht="31.5" customHeight="1">
      <c r="A17" s="457" t="s">
        <v>15</v>
      </c>
      <c r="B17" s="724" t="s">
        <v>925</v>
      </c>
      <c r="C17" s="726" t="s">
        <v>928</v>
      </c>
      <c r="D17" s="459"/>
      <c r="E17" s="460">
        <v>50000</v>
      </c>
    </row>
    <row r="18" spans="1:5" ht="27.75" customHeight="1">
      <c r="A18" s="457" t="s">
        <v>16</v>
      </c>
      <c r="B18" s="724" t="s">
        <v>926</v>
      </c>
      <c r="C18" s="725" t="s">
        <v>929</v>
      </c>
      <c r="D18" s="459"/>
      <c r="E18" s="460">
        <v>100000</v>
      </c>
    </row>
    <row r="19" spans="1:5" ht="15.75" customHeight="1" hidden="1">
      <c r="A19" s="457" t="s">
        <v>17</v>
      </c>
      <c r="B19" s="458"/>
      <c r="C19" s="458"/>
      <c r="D19" s="459"/>
      <c r="E19" s="460"/>
    </row>
    <row r="20" spans="1:5" ht="15.75" customHeight="1" hidden="1">
      <c r="A20" s="457" t="s">
        <v>18</v>
      </c>
      <c r="B20" s="458"/>
      <c r="C20" s="458"/>
      <c r="D20" s="459"/>
      <c r="E20" s="460"/>
    </row>
    <row r="21" spans="1:5" ht="15.75" customHeight="1" hidden="1">
      <c r="A21" s="457" t="s">
        <v>19</v>
      </c>
      <c r="B21" s="458"/>
      <c r="C21" s="458"/>
      <c r="D21" s="459"/>
      <c r="E21" s="460"/>
    </row>
    <row r="22" spans="1:5" ht="15.75" customHeight="1" hidden="1">
      <c r="A22" s="457" t="s">
        <v>20</v>
      </c>
      <c r="B22" s="458"/>
      <c r="C22" s="458"/>
      <c r="D22" s="459"/>
      <c r="E22" s="460"/>
    </row>
    <row r="23" spans="1:5" ht="15.75" customHeight="1" hidden="1">
      <c r="A23" s="457" t="s">
        <v>21</v>
      </c>
      <c r="B23" s="458"/>
      <c r="C23" s="458"/>
      <c r="D23" s="459"/>
      <c r="E23" s="460"/>
    </row>
    <row r="24" spans="1:5" ht="15.75" customHeight="1" hidden="1">
      <c r="A24" s="457" t="s">
        <v>22</v>
      </c>
      <c r="B24" s="458"/>
      <c r="C24" s="458"/>
      <c r="D24" s="459"/>
      <c r="E24" s="460"/>
    </row>
    <row r="25" spans="1:5" ht="15.75" customHeight="1" hidden="1">
      <c r="A25" s="457" t="s">
        <v>23</v>
      </c>
      <c r="B25" s="458"/>
      <c r="C25" s="458"/>
      <c r="D25" s="459"/>
      <c r="E25" s="460"/>
    </row>
    <row r="26" spans="1:5" ht="15.75" customHeight="1" hidden="1">
      <c r="A26" s="457" t="s">
        <v>24</v>
      </c>
      <c r="B26" s="458"/>
      <c r="C26" s="458"/>
      <c r="D26" s="459"/>
      <c r="E26" s="460"/>
    </row>
    <row r="27" spans="1:5" ht="15.75" customHeight="1" hidden="1">
      <c r="A27" s="457" t="s">
        <v>25</v>
      </c>
      <c r="B27" s="458"/>
      <c r="C27" s="458"/>
      <c r="D27" s="459"/>
      <c r="E27" s="460"/>
    </row>
    <row r="28" spans="1:5" ht="15.75" customHeight="1" hidden="1">
      <c r="A28" s="457" t="s">
        <v>26</v>
      </c>
      <c r="B28" s="458"/>
      <c r="C28" s="458"/>
      <c r="D28" s="459"/>
      <c r="E28" s="460"/>
    </row>
    <row r="29" spans="1:5" ht="15.75" customHeight="1" hidden="1">
      <c r="A29" s="457" t="s">
        <v>27</v>
      </c>
      <c r="B29" s="458"/>
      <c r="C29" s="458"/>
      <c r="D29" s="459"/>
      <c r="E29" s="460"/>
    </row>
    <row r="30" spans="1:5" ht="15.75" customHeight="1" hidden="1">
      <c r="A30" s="457" t="s">
        <v>28</v>
      </c>
      <c r="B30" s="458"/>
      <c r="C30" s="458"/>
      <c r="D30" s="459"/>
      <c r="E30" s="460"/>
    </row>
    <row r="31" spans="1:5" ht="15.75" customHeight="1" hidden="1">
      <c r="A31" s="457" t="s">
        <v>29</v>
      </c>
      <c r="B31" s="458"/>
      <c r="C31" s="458"/>
      <c r="D31" s="459"/>
      <c r="E31" s="460"/>
    </row>
    <row r="32" spans="1:5" ht="15.75" customHeight="1" hidden="1">
      <c r="A32" s="457" t="s">
        <v>30</v>
      </c>
      <c r="B32" s="458"/>
      <c r="C32" s="458"/>
      <c r="D32" s="459"/>
      <c r="E32" s="460"/>
    </row>
    <row r="33" spans="1:5" ht="15.75" customHeight="1" hidden="1">
      <c r="A33" s="457" t="s">
        <v>31</v>
      </c>
      <c r="B33" s="458"/>
      <c r="C33" s="458"/>
      <c r="D33" s="459"/>
      <c r="E33" s="460"/>
    </row>
    <row r="34" spans="1:5" ht="15.75" customHeight="1" hidden="1">
      <c r="A34" s="457" t="s">
        <v>32</v>
      </c>
      <c r="B34" s="458"/>
      <c r="C34" s="458"/>
      <c r="D34" s="459"/>
      <c r="E34" s="460"/>
    </row>
    <row r="35" spans="1:5" ht="15.75" customHeight="1" hidden="1">
      <c r="A35" s="457" t="s">
        <v>33</v>
      </c>
      <c r="B35" s="458"/>
      <c r="C35" s="458"/>
      <c r="D35" s="459"/>
      <c r="E35" s="460"/>
    </row>
    <row r="36" spans="1:5" ht="15.75" customHeight="1" hidden="1">
      <c r="A36" s="457" t="s">
        <v>553</v>
      </c>
      <c r="B36" s="458"/>
      <c r="C36" s="458"/>
      <c r="D36" s="459"/>
      <c r="E36" s="460"/>
    </row>
    <row r="37" spans="1:5" ht="15.75" customHeight="1" hidden="1">
      <c r="A37" s="457" t="s">
        <v>554</v>
      </c>
      <c r="B37" s="458"/>
      <c r="C37" s="458"/>
      <c r="D37" s="459"/>
      <c r="E37" s="460"/>
    </row>
    <row r="38" spans="1:5" ht="15.75" customHeight="1" hidden="1">
      <c r="A38" s="457" t="s">
        <v>555</v>
      </c>
      <c r="B38" s="458"/>
      <c r="C38" s="458"/>
      <c r="D38" s="459"/>
      <c r="E38" s="460"/>
    </row>
    <row r="39" spans="1:5" ht="15.75" customHeight="1" hidden="1">
      <c r="A39" s="457" t="s">
        <v>556</v>
      </c>
      <c r="B39" s="458"/>
      <c r="C39" s="458"/>
      <c r="D39" s="459"/>
      <c r="E39" s="460"/>
    </row>
    <row r="40" spans="1:5" ht="15.75" customHeight="1" hidden="1" thickBot="1">
      <c r="A40" s="457" t="s">
        <v>557</v>
      </c>
      <c r="B40" s="461"/>
      <c r="C40" s="461"/>
      <c r="D40" s="462"/>
      <c r="E40" s="463"/>
    </row>
    <row r="41" spans="1:5" ht="15.75" customHeight="1" thickBot="1">
      <c r="A41" s="457" t="s">
        <v>17</v>
      </c>
      <c r="B41" s="731" t="s">
        <v>948</v>
      </c>
      <c r="C41" s="732" t="s">
        <v>949</v>
      </c>
      <c r="D41" s="733"/>
      <c r="E41" s="734">
        <v>106000</v>
      </c>
    </row>
    <row r="42" spans="1:5" ht="15.75" customHeight="1" thickBot="1">
      <c r="A42" s="844" t="s">
        <v>38</v>
      </c>
      <c r="B42" s="845"/>
      <c r="C42" s="464"/>
      <c r="D42" s="465">
        <f>SUM(D8:D40)</f>
        <v>1270000</v>
      </c>
      <c r="E42" s="466">
        <f>SUM(E8:E41)</f>
        <v>706000</v>
      </c>
    </row>
  </sheetData>
  <sheetProtection/>
  <mergeCells count="4">
    <mergeCell ref="A42:B42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76"/>
  <sheetViews>
    <sheetView zoomScale="120" zoomScaleNormal="120" zoomScaleSheetLayoutView="120" workbookViewId="0" topLeftCell="A1">
      <selection activeCell="C5" sqref="C5:D5"/>
    </sheetView>
  </sheetViews>
  <sheetFormatPr defaultColWidth="12.00390625" defaultRowHeight="12.75"/>
  <cols>
    <col min="1" max="1" width="67.125" style="467" customWidth="1"/>
    <col min="2" max="2" width="6.125" style="468" customWidth="1"/>
    <col min="3" max="4" width="12.125" style="467" customWidth="1"/>
    <col min="5" max="16384" width="12.00390625" style="467" customWidth="1"/>
  </cols>
  <sheetData>
    <row r="1" spans="1:4" ht="15">
      <c r="A1" s="857" t="str">
        <f>CONCATENATE("7.1. tájékoztató tábla ",Z_ALAPADATOK!A7," ",Z_ALAPADATOK!B7," ",Z_ALAPADATOK!C7," ",Z_ALAPADATOK!D7," ",Z_ALAPADATOK!E7," ",Z_ALAPADATOK!F7," ",Z_ALAPADATOK!G7," ",Z_ALAPADATOK!H7)</f>
        <v>7.1. tájékoztató tábla a … / 2020. ( … ) önkormányzati rendelethez</v>
      </c>
      <c r="B1" s="757"/>
      <c r="C1" s="757"/>
      <c r="D1" s="757"/>
    </row>
    <row r="2" spans="1:4" ht="15">
      <c r="A2" s="858" t="s">
        <v>724</v>
      </c>
      <c r="B2" s="859"/>
      <c r="C2" s="859"/>
      <c r="D2" s="859"/>
    </row>
    <row r="3" spans="1:4" ht="16.5" customHeight="1">
      <c r="A3" s="858" t="s">
        <v>725</v>
      </c>
      <c r="B3" s="859"/>
      <c r="C3" s="859"/>
      <c r="D3" s="859"/>
    </row>
    <row r="4" spans="1:4" ht="16.5" customHeight="1">
      <c r="A4" s="860" t="s">
        <v>936</v>
      </c>
      <c r="B4" s="861"/>
      <c r="C4" s="861"/>
      <c r="D4" s="861"/>
    </row>
    <row r="5" spans="1:4" ht="16.5" customHeight="1" thickBot="1">
      <c r="A5" s="572"/>
      <c r="B5" s="573"/>
      <c r="C5" s="862"/>
      <c r="D5" s="862"/>
    </row>
    <row r="6" spans="1:4" ht="15.75" customHeight="1">
      <c r="A6" s="847" t="s">
        <v>558</v>
      </c>
      <c r="B6" s="850" t="s">
        <v>559</v>
      </c>
      <c r="C6" s="853" t="s">
        <v>560</v>
      </c>
      <c r="D6" s="853" t="s">
        <v>561</v>
      </c>
    </row>
    <row r="7" spans="1:4" ht="11.25" customHeight="1">
      <c r="A7" s="848"/>
      <c r="B7" s="851"/>
      <c r="C7" s="854"/>
      <c r="D7" s="854"/>
    </row>
    <row r="8" spans="1:4" ht="15">
      <c r="A8" s="849"/>
      <c r="B8" s="852"/>
      <c r="C8" s="855" t="s">
        <v>562</v>
      </c>
      <c r="D8" s="855"/>
    </row>
    <row r="9" spans="1:4" s="469" customFormat="1" ht="15.75" thickBot="1">
      <c r="A9" s="574" t="s">
        <v>563</v>
      </c>
      <c r="B9" s="575" t="s">
        <v>382</v>
      </c>
      <c r="C9" s="575" t="s">
        <v>383</v>
      </c>
      <c r="D9" s="575" t="s">
        <v>385</v>
      </c>
    </row>
    <row r="10" spans="1:4" s="473" customFormat="1" ht="15">
      <c r="A10" s="470" t="s">
        <v>564</v>
      </c>
      <c r="B10" s="471" t="s">
        <v>565</v>
      </c>
      <c r="C10" s="472">
        <v>87150117</v>
      </c>
      <c r="D10" s="472">
        <v>1014217</v>
      </c>
    </row>
    <row r="11" spans="1:4" s="473" customFormat="1" ht="15">
      <c r="A11" s="474" t="s">
        <v>566</v>
      </c>
      <c r="B11" s="475" t="s">
        <v>567</v>
      </c>
      <c r="C11" s="476">
        <f>+C12+C17+C22+C27+C32</f>
        <v>3797647963</v>
      </c>
      <c r="D11" s="476">
        <f>+D12+D17+D22+D27+D32</f>
        <v>3251126393</v>
      </c>
    </row>
    <row r="12" spans="1:4" s="473" customFormat="1" ht="15">
      <c r="A12" s="474" t="s">
        <v>568</v>
      </c>
      <c r="B12" s="475" t="s">
        <v>569</v>
      </c>
      <c r="C12" s="476">
        <v>3540330726</v>
      </c>
      <c r="D12" s="476">
        <v>3092239439</v>
      </c>
    </row>
    <row r="13" spans="1:4" s="473" customFormat="1" ht="15">
      <c r="A13" s="477" t="s">
        <v>570</v>
      </c>
      <c r="B13" s="475" t="s">
        <v>571</v>
      </c>
      <c r="C13" s="478"/>
      <c r="D13" s="478"/>
    </row>
    <row r="14" spans="1:4" s="473" customFormat="1" ht="26.25" customHeight="1">
      <c r="A14" s="477" t="s">
        <v>572</v>
      </c>
      <c r="B14" s="475" t="s">
        <v>573</v>
      </c>
      <c r="C14" s="479"/>
      <c r="D14" s="479"/>
    </row>
    <row r="15" spans="1:4" s="473" customFormat="1" ht="15">
      <c r="A15" s="477" t="s">
        <v>574</v>
      </c>
      <c r="B15" s="475" t="s">
        <v>575</v>
      </c>
      <c r="C15" s="479"/>
      <c r="D15" s="479"/>
    </row>
    <row r="16" spans="1:4" s="473" customFormat="1" ht="15">
      <c r="A16" s="477" t="s">
        <v>576</v>
      </c>
      <c r="B16" s="475" t="s">
        <v>577</v>
      </c>
      <c r="C16" s="479"/>
      <c r="D16" s="479"/>
    </row>
    <row r="17" spans="1:4" s="473" customFormat="1" ht="15">
      <c r="A17" s="474" t="s">
        <v>578</v>
      </c>
      <c r="B17" s="475" t="s">
        <v>579</v>
      </c>
      <c r="C17" s="480">
        <v>147456412</v>
      </c>
      <c r="D17" s="480">
        <v>49026129</v>
      </c>
    </row>
    <row r="18" spans="1:4" s="473" customFormat="1" ht="15">
      <c r="A18" s="477" t="s">
        <v>580</v>
      </c>
      <c r="B18" s="475" t="s">
        <v>581</v>
      </c>
      <c r="C18" s="479"/>
      <c r="D18" s="479"/>
    </row>
    <row r="19" spans="1:4" s="473" customFormat="1" ht="20.25">
      <c r="A19" s="477" t="s">
        <v>582</v>
      </c>
      <c r="B19" s="475" t="s">
        <v>15</v>
      </c>
      <c r="C19" s="479"/>
      <c r="D19" s="479"/>
    </row>
    <row r="20" spans="1:4" s="473" customFormat="1" ht="15">
      <c r="A20" s="477" t="s">
        <v>583</v>
      </c>
      <c r="B20" s="475" t="s">
        <v>16</v>
      </c>
      <c r="C20" s="479"/>
      <c r="D20" s="479"/>
    </row>
    <row r="21" spans="1:4" s="473" customFormat="1" ht="15">
      <c r="A21" s="477" t="s">
        <v>584</v>
      </c>
      <c r="B21" s="475" t="s">
        <v>17</v>
      </c>
      <c r="C21" s="479"/>
      <c r="D21" s="479"/>
    </row>
    <row r="22" spans="1:4" s="473" customFormat="1" ht="15">
      <c r="A22" s="474" t="s">
        <v>585</v>
      </c>
      <c r="B22" s="475" t="s">
        <v>18</v>
      </c>
      <c r="C22" s="480">
        <f>+C23+C24+C25+C26</f>
        <v>0</v>
      </c>
      <c r="D22" s="480">
        <f>+D23+D24+D25+D26</f>
        <v>0</v>
      </c>
    </row>
    <row r="23" spans="1:4" s="473" customFormat="1" ht="15">
      <c r="A23" s="477" t="s">
        <v>586</v>
      </c>
      <c r="B23" s="475" t="s">
        <v>19</v>
      </c>
      <c r="C23" s="479"/>
      <c r="D23" s="479"/>
    </row>
    <row r="24" spans="1:4" s="473" customFormat="1" ht="15">
      <c r="A24" s="477" t="s">
        <v>587</v>
      </c>
      <c r="B24" s="475" t="s">
        <v>20</v>
      </c>
      <c r="C24" s="479"/>
      <c r="D24" s="479"/>
    </row>
    <row r="25" spans="1:4" s="473" customFormat="1" ht="15">
      <c r="A25" s="477" t="s">
        <v>588</v>
      </c>
      <c r="B25" s="475" t="s">
        <v>21</v>
      </c>
      <c r="C25" s="479"/>
      <c r="D25" s="479"/>
    </row>
    <row r="26" spans="1:4" s="473" customFormat="1" ht="15">
      <c r="A26" s="477" t="s">
        <v>589</v>
      </c>
      <c r="B26" s="475" t="s">
        <v>22</v>
      </c>
      <c r="C26" s="479"/>
      <c r="D26" s="479"/>
    </row>
    <row r="27" spans="1:4" s="473" customFormat="1" ht="15">
      <c r="A27" s="474" t="s">
        <v>590</v>
      </c>
      <c r="B27" s="475" t="s">
        <v>23</v>
      </c>
      <c r="C27" s="480">
        <v>109860825</v>
      </c>
      <c r="D27" s="480">
        <v>109860825</v>
      </c>
    </row>
    <row r="28" spans="1:4" s="473" customFormat="1" ht="15">
      <c r="A28" s="477" t="s">
        <v>591</v>
      </c>
      <c r="B28" s="475" t="s">
        <v>24</v>
      </c>
      <c r="C28" s="479"/>
      <c r="D28" s="479"/>
    </row>
    <row r="29" spans="1:4" s="473" customFormat="1" ht="15">
      <c r="A29" s="477" t="s">
        <v>592</v>
      </c>
      <c r="B29" s="475" t="s">
        <v>25</v>
      </c>
      <c r="C29" s="479"/>
      <c r="D29" s="479"/>
    </row>
    <row r="30" spans="1:4" s="473" customFormat="1" ht="15">
      <c r="A30" s="477" t="s">
        <v>593</v>
      </c>
      <c r="B30" s="475" t="s">
        <v>26</v>
      </c>
      <c r="C30" s="479"/>
      <c r="D30" s="479"/>
    </row>
    <row r="31" spans="1:4" s="473" customFormat="1" ht="15">
      <c r="A31" s="477" t="s">
        <v>594</v>
      </c>
      <c r="B31" s="475" t="s">
        <v>27</v>
      </c>
      <c r="C31" s="479"/>
      <c r="D31" s="479"/>
    </row>
    <row r="32" spans="1:4" s="473" customFormat="1" ht="15">
      <c r="A32" s="474" t="s">
        <v>595</v>
      </c>
      <c r="B32" s="475" t="s">
        <v>28</v>
      </c>
      <c r="C32" s="480">
        <f>+C33+C34+C35+C36</f>
        <v>0</v>
      </c>
      <c r="D32" s="480">
        <f>+D33+D34+D35+D36</f>
        <v>0</v>
      </c>
    </row>
    <row r="33" spans="1:4" s="473" customFormat="1" ht="15">
      <c r="A33" s="477" t="s">
        <v>596</v>
      </c>
      <c r="B33" s="475" t="s">
        <v>29</v>
      </c>
      <c r="C33" s="479"/>
      <c r="D33" s="479"/>
    </row>
    <row r="34" spans="1:4" s="473" customFormat="1" ht="20.25">
      <c r="A34" s="477" t="s">
        <v>597</v>
      </c>
      <c r="B34" s="475" t="s">
        <v>30</v>
      </c>
      <c r="C34" s="479"/>
      <c r="D34" s="479"/>
    </row>
    <row r="35" spans="1:4" s="473" customFormat="1" ht="15">
      <c r="A35" s="477" t="s">
        <v>598</v>
      </c>
      <c r="B35" s="475" t="s">
        <v>31</v>
      </c>
      <c r="C35" s="479"/>
      <c r="D35" s="479"/>
    </row>
    <row r="36" spans="1:4" s="473" customFormat="1" ht="15">
      <c r="A36" s="477" t="s">
        <v>599</v>
      </c>
      <c r="B36" s="475" t="s">
        <v>32</v>
      </c>
      <c r="C36" s="479"/>
      <c r="D36" s="479"/>
    </row>
    <row r="37" spans="1:4" s="473" customFormat="1" ht="15">
      <c r="A37" s="474" t="s">
        <v>600</v>
      </c>
      <c r="B37" s="475" t="s">
        <v>33</v>
      </c>
      <c r="C37" s="480">
        <f>+C38+C43+C48</f>
        <v>5639575</v>
      </c>
      <c r="D37" s="480">
        <f>+D38+D43+D48</f>
        <v>5639575</v>
      </c>
    </row>
    <row r="38" spans="1:4" s="473" customFormat="1" ht="15">
      <c r="A38" s="474" t="s">
        <v>601</v>
      </c>
      <c r="B38" s="475" t="s">
        <v>553</v>
      </c>
      <c r="C38" s="480">
        <f>+C39+C40+C41+C42</f>
        <v>5639575</v>
      </c>
      <c r="D38" s="480">
        <f>+D39+D40+D41+D42</f>
        <v>5639575</v>
      </c>
    </row>
    <row r="39" spans="1:4" s="473" customFormat="1" ht="15">
      <c r="A39" s="477" t="s">
        <v>602</v>
      </c>
      <c r="B39" s="475" t="s">
        <v>554</v>
      </c>
      <c r="C39" s="479"/>
      <c r="D39" s="479"/>
    </row>
    <row r="40" spans="1:4" s="473" customFormat="1" ht="15">
      <c r="A40" s="477" t="s">
        <v>603</v>
      </c>
      <c r="B40" s="475" t="s">
        <v>555</v>
      </c>
      <c r="C40" s="479"/>
      <c r="D40" s="479"/>
    </row>
    <row r="41" spans="1:4" s="473" customFormat="1" ht="15">
      <c r="A41" s="477" t="s">
        <v>604</v>
      </c>
      <c r="B41" s="475" t="s">
        <v>556</v>
      </c>
      <c r="C41" s="479">
        <v>5639575</v>
      </c>
      <c r="D41" s="479">
        <v>5639575</v>
      </c>
    </row>
    <row r="42" spans="1:4" s="473" customFormat="1" ht="15">
      <c r="A42" s="477" t="s">
        <v>605</v>
      </c>
      <c r="B42" s="475" t="s">
        <v>557</v>
      </c>
      <c r="C42" s="479"/>
      <c r="D42" s="479"/>
    </row>
    <row r="43" spans="1:4" s="473" customFormat="1" ht="15">
      <c r="A43" s="474" t="s">
        <v>606</v>
      </c>
      <c r="B43" s="475" t="s">
        <v>607</v>
      </c>
      <c r="C43" s="480">
        <f>+C44+C45+C46+C47</f>
        <v>0</v>
      </c>
      <c r="D43" s="480">
        <f>+D44+D45+D46+D47</f>
        <v>0</v>
      </c>
    </row>
    <row r="44" spans="1:4" s="473" customFormat="1" ht="15">
      <c r="A44" s="477" t="s">
        <v>608</v>
      </c>
      <c r="B44" s="475" t="s">
        <v>609</v>
      </c>
      <c r="C44" s="479"/>
      <c r="D44" s="479"/>
    </row>
    <row r="45" spans="1:4" s="473" customFormat="1" ht="20.25">
      <c r="A45" s="477" t="s">
        <v>610</v>
      </c>
      <c r="B45" s="475" t="s">
        <v>611</v>
      </c>
      <c r="C45" s="479"/>
      <c r="D45" s="479"/>
    </row>
    <row r="46" spans="1:4" s="473" customFormat="1" ht="15">
      <c r="A46" s="477" t="s">
        <v>612</v>
      </c>
      <c r="B46" s="475" t="s">
        <v>613</v>
      </c>
      <c r="C46" s="479"/>
      <c r="D46" s="479"/>
    </row>
    <row r="47" spans="1:4" s="473" customFormat="1" ht="15">
      <c r="A47" s="477" t="s">
        <v>614</v>
      </c>
      <c r="B47" s="475" t="s">
        <v>615</v>
      </c>
      <c r="C47" s="479"/>
      <c r="D47" s="479"/>
    </row>
    <row r="48" spans="1:4" s="473" customFormat="1" ht="15">
      <c r="A48" s="474" t="s">
        <v>616</v>
      </c>
      <c r="B48" s="475" t="s">
        <v>617</v>
      </c>
      <c r="C48" s="480">
        <f>+C49+C50+C51+C52</f>
        <v>0</v>
      </c>
      <c r="D48" s="480">
        <f>+D49+D50+D51+D52</f>
        <v>0</v>
      </c>
    </row>
    <row r="49" spans="1:4" s="473" customFormat="1" ht="15">
      <c r="A49" s="477" t="s">
        <v>618</v>
      </c>
      <c r="B49" s="475" t="s">
        <v>619</v>
      </c>
      <c r="C49" s="479"/>
      <c r="D49" s="479"/>
    </row>
    <row r="50" spans="1:4" s="473" customFormat="1" ht="20.25">
      <c r="A50" s="477" t="s">
        <v>620</v>
      </c>
      <c r="B50" s="475" t="s">
        <v>621</v>
      </c>
      <c r="C50" s="479"/>
      <c r="D50" s="479"/>
    </row>
    <row r="51" spans="1:4" s="473" customFormat="1" ht="15">
      <c r="A51" s="477" t="s">
        <v>622</v>
      </c>
      <c r="B51" s="475" t="s">
        <v>623</v>
      </c>
      <c r="C51" s="479"/>
      <c r="D51" s="479"/>
    </row>
    <row r="52" spans="1:4" s="473" customFormat="1" ht="15">
      <c r="A52" s="477" t="s">
        <v>624</v>
      </c>
      <c r="B52" s="475" t="s">
        <v>625</v>
      </c>
      <c r="C52" s="479"/>
      <c r="D52" s="479"/>
    </row>
    <row r="53" spans="1:4" s="473" customFormat="1" ht="15">
      <c r="A53" s="474" t="s">
        <v>626</v>
      </c>
      <c r="B53" s="475" t="s">
        <v>627</v>
      </c>
      <c r="C53" s="479"/>
      <c r="D53" s="479"/>
    </row>
    <row r="54" spans="1:4" s="473" customFormat="1" ht="20.25">
      <c r="A54" s="474" t="s">
        <v>628</v>
      </c>
      <c r="B54" s="475" t="s">
        <v>629</v>
      </c>
      <c r="C54" s="480">
        <f>+C10+C11+C37+C53</f>
        <v>3890437655</v>
      </c>
      <c r="D54" s="480">
        <f>+D10+D11+D37+D53</f>
        <v>3257780185</v>
      </c>
    </row>
    <row r="55" spans="1:4" s="473" customFormat="1" ht="15">
      <c r="A55" s="474" t="s">
        <v>630</v>
      </c>
      <c r="B55" s="475" t="s">
        <v>631</v>
      </c>
      <c r="C55" s="479">
        <v>734097</v>
      </c>
      <c r="D55" s="479">
        <v>734097</v>
      </c>
    </row>
    <row r="56" spans="1:4" s="473" customFormat="1" ht="15">
      <c r="A56" s="474" t="s">
        <v>632</v>
      </c>
      <c r="B56" s="475" t="s">
        <v>633</v>
      </c>
      <c r="C56" s="479">
        <v>10648985</v>
      </c>
      <c r="D56" s="479">
        <v>10648985</v>
      </c>
    </row>
    <row r="57" spans="1:4" s="473" customFormat="1" ht="15">
      <c r="A57" s="474" t="s">
        <v>634</v>
      </c>
      <c r="B57" s="475" t="s">
        <v>635</v>
      </c>
      <c r="C57" s="480">
        <f>+C55+C56</f>
        <v>11383082</v>
      </c>
      <c r="D57" s="480">
        <f>+D55+D56</f>
        <v>11383082</v>
      </c>
    </row>
    <row r="58" spans="1:4" s="473" customFormat="1" ht="15">
      <c r="A58" s="474" t="s">
        <v>636</v>
      </c>
      <c r="B58" s="475" t="s">
        <v>637</v>
      </c>
      <c r="C58" s="479"/>
      <c r="D58" s="479"/>
    </row>
    <row r="59" spans="1:4" s="473" customFormat="1" ht="15">
      <c r="A59" s="474" t="s">
        <v>638</v>
      </c>
      <c r="B59" s="475" t="s">
        <v>639</v>
      </c>
      <c r="C59" s="479">
        <v>684815</v>
      </c>
      <c r="D59" s="479">
        <v>684815</v>
      </c>
    </row>
    <row r="60" spans="1:4" s="473" customFormat="1" ht="15">
      <c r="A60" s="474" t="s">
        <v>640</v>
      </c>
      <c r="B60" s="475" t="s">
        <v>641</v>
      </c>
      <c r="C60" s="479">
        <v>239898481</v>
      </c>
      <c r="D60" s="479">
        <v>239898481</v>
      </c>
    </row>
    <row r="61" spans="1:4" s="473" customFormat="1" ht="15">
      <c r="A61" s="474" t="s">
        <v>642</v>
      </c>
      <c r="B61" s="475" t="s">
        <v>643</v>
      </c>
      <c r="C61" s="479"/>
      <c r="D61" s="479"/>
    </row>
    <row r="62" spans="1:4" s="473" customFormat="1" ht="15">
      <c r="A62" s="474" t="s">
        <v>644</v>
      </c>
      <c r="B62" s="475" t="s">
        <v>645</v>
      </c>
      <c r="C62" s="480">
        <f>+C58+C59+C60+C61</f>
        <v>240583296</v>
      </c>
      <c r="D62" s="480">
        <f>+D58+D59+D60+D61</f>
        <v>240583296</v>
      </c>
    </row>
    <row r="63" spans="1:4" s="473" customFormat="1" ht="15">
      <c r="A63" s="474" t="s">
        <v>646</v>
      </c>
      <c r="B63" s="475" t="s">
        <v>647</v>
      </c>
      <c r="C63" s="479">
        <v>19132362</v>
      </c>
      <c r="D63" s="479">
        <v>19132362</v>
      </c>
    </row>
    <row r="64" spans="1:4" s="473" customFormat="1" ht="15">
      <c r="A64" s="474" t="s">
        <v>648</v>
      </c>
      <c r="B64" s="475" t="s">
        <v>649</v>
      </c>
      <c r="C64" s="479">
        <v>3397644</v>
      </c>
      <c r="D64" s="479">
        <v>3397644</v>
      </c>
    </row>
    <row r="65" spans="1:4" s="473" customFormat="1" ht="15">
      <c r="A65" s="474" t="s">
        <v>650</v>
      </c>
      <c r="B65" s="475" t="s">
        <v>651</v>
      </c>
      <c r="C65" s="479">
        <v>108000</v>
      </c>
      <c r="D65" s="479">
        <v>108000</v>
      </c>
    </row>
    <row r="66" spans="1:4" s="473" customFormat="1" ht="15">
      <c r="A66" s="474" t="s">
        <v>652</v>
      </c>
      <c r="B66" s="475" t="s">
        <v>653</v>
      </c>
      <c r="C66" s="480">
        <f>+C63+C64+C65</f>
        <v>22638006</v>
      </c>
      <c r="D66" s="480">
        <f>+D63+D64+D65</f>
        <v>22638006</v>
      </c>
    </row>
    <row r="67" spans="1:4" s="473" customFormat="1" ht="15">
      <c r="A67" s="474" t="s">
        <v>654</v>
      </c>
      <c r="B67" s="475" t="s">
        <v>655</v>
      </c>
      <c r="C67" s="479"/>
      <c r="D67" s="479"/>
    </row>
    <row r="68" spans="1:4" s="473" customFormat="1" ht="20.25">
      <c r="A68" s="474" t="s">
        <v>656</v>
      </c>
      <c r="B68" s="475" t="s">
        <v>657</v>
      </c>
      <c r="C68" s="479"/>
      <c r="D68" s="479"/>
    </row>
    <row r="69" spans="1:4" s="473" customFormat="1" ht="15">
      <c r="A69" s="474" t="s">
        <v>722</v>
      </c>
      <c r="B69" s="475" t="s">
        <v>658</v>
      </c>
      <c r="C69" s="480">
        <v>3426393</v>
      </c>
      <c r="D69" s="480">
        <v>3426393</v>
      </c>
    </row>
    <row r="70" spans="1:4" s="473" customFormat="1" ht="15">
      <c r="A70" s="474" t="s">
        <v>659</v>
      </c>
      <c r="B70" s="475" t="s">
        <v>660</v>
      </c>
      <c r="C70" s="479"/>
      <c r="D70" s="479"/>
    </row>
    <row r="71" spans="1:4" s="473" customFormat="1" ht="15.75" thickBot="1">
      <c r="A71" s="481" t="s">
        <v>661</v>
      </c>
      <c r="B71" s="482" t="s">
        <v>662</v>
      </c>
      <c r="C71" s="483">
        <f>+C54+C57+C62+C66+C69+C70</f>
        <v>4168468432</v>
      </c>
      <c r="D71" s="483">
        <f>+D54+D57+D62+D66+D69+D70</f>
        <v>3535810962</v>
      </c>
    </row>
    <row r="72" spans="1:4" ht="15">
      <c r="A72" s="484"/>
      <c r="C72" s="485"/>
      <c r="D72" s="485"/>
    </row>
    <row r="73" spans="1:4" ht="15">
      <c r="A73" s="484"/>
      <c r="C73" s="485"/>
      <c r="D73" s="485"/>
    </row>
    <row r="74" spans="1:4" ht="15">
      <c r="A74" s="486"/>
      <c r="C74" s="485"/>
      <c r="D74" s="485"/>
    </row>
    <row r="75" spans="1:4" ht="15">
      <c r="A75" s="856"/>
      <c r="B75" s="856"/>
      <c r="C75" s="856"/>
      <c r="D75" s="856"/>
    </row>
    <row r="76" spans="1:4" ht="15">
      <c r="A76" s="856"/>
      <c r="B76" s="856"/>
      <c r="C76" s="856"/>
      <c r="D76" s="856"/>
    </row>
  </sheetData>
  <sheetProtection/>
  <mergeCells count="12">
    <mergeCell ref="A76:D76"/>
    <mergeCell ref="A1:D1"/>
    <mergeCell ref="A2:D2"/>
    <mergeCell ref="A3:D3"/>
    <mergeCell ref="A4:D4"/>
    <mergeCell ref="C5:D5"/>
    <mergeCell ref="A6:A8"/>
    <mergeCell ref="B6:B8"/>
    <mergeCell ref="C6:C7"/>
    <mergeCell ref="D6:D7"/>
    <mergeCell ref="C8:D8"/>
    <mergeCell ref="A75:D75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">
      <selection activeCell="C15" sqref="C15"/>
    </sheetView>
  </sheetViews>
  <sheetFormatPr defaultColWidth="9.375" defaultRowHeight="12.75"/>
  <cols>
    <col min="1" max="1" width="71.125" style="488" customWidth="1"/>
    <col min="2" max="2" width="6.125" style="500" customWidth="1"/>
    <col min="3" max="3" width="18.00390625" style="487" customWidth="1"/>
    <col min="4" max="16384" width="9.375" style="487" customWidth="1"/>
  </cols>
  <sheetData>
    <row r="1" spans="1:3" ht="16.5" customHeight="1">
      <c r="A1" s="864" t="str">
        <f>CONCATENATE("7.2. tájékoztató tábla ",Z_ALAPADATOK!A7," ",Z_ALAPADATOK!B7," ",Z_ALAPADATOK!C7," ",Z_ALAPADATOK!D7," ",Z_ALAPADATOK!E7," ",Z_ALAPADATOK!F7," ",Z_ALAPADATOK!G7," ",Z_ALAPADATOK!H7)</f>
        <v>7.2. tájékoztató tábla a … / 2020. ( … ) önkormányzati rendelethez</v>
      </c>
      <c r="B1" s="865"/>
      <c r="C1" s="865"/>
    </row>
    <row r="2" spans="1:3" ht="16.5" customHeight="1">
      <c r="A2" s="576"/>
      <c r="B2" s="577"/>
      <c r="C2" s="578"/>
    </row>
    <row r="3" spans="1:3" ht="16.5" customHeight="1">
      <c r="A3" s="868" t="s">
        <v>724</v>
      </c>
      <c r="B3" s="868"/>
      <c r="C3" s="868"/>
    </row>
    <row r="4" spans="1:3" ht="16.5" customHeight="1">
      <c r="A4" s="866" t="s">
        <v>768</v>
      </c>
      <c r="B4" s="866"/>
      <c r="C4" s="866"/>
    </row>
    <row r="5" spans="1:3" ht="16.5" customHeight="1">
      <c r="A5" s="866" t="s">
        <v>936</v>
      </c>
      <c r="B5" s="867"/>
      <c r="C5" s="867"/>
    </row>
    <row r="6" spans="1:3" ht="13.5" thickBot="1">
      <c r="A6" s="576"/>
      <c r="B6" s="869">
        <f>'Z_4.tájékoztató_t.'!E6</f>
        <v>0</v>
      </c>
      <c r="C6" s="869"/>
    </row>
    <row r="7" spans="1:3" s="489" customFormat="1" ht="31.5" customHeight="1">
      <c r="A7" s="870" t="s">
        <v>663</v>
      </c>
      <c r="B7" s="872" t="s">
        <v>559</v>
      </c>
      <c r="C7" s="874" t="s">
        <v>664</v>
      </c>
    </row>
    <row r="8" spans="1:3" s="489" customFormat="1" ht="12.75">
      <c r="A8" s="871"/>
      <c r="B8" s="873"/>
      <c r="C8" s="875"/>
    </row>
    <row r="9" spans="1:3" s="490" customFormat="1" ht="13.5" thickBot="1">
      <c r="A9" s="579" t="s">
        <v>381</v>
      </c>
      <c r="B9" s="580" t="s">
        <v>382</v>
      </c>
      <c r="C9" s="581" t="s">
        <v>383</v>
      </c>
    </row>
    <row r="10" spans="1:3" ht="15.75" customHeight="1">
      <c r="A10" s="474" t="s">
        <v>665</v>
      </c>
      <c r="B10" s="491" t="s">
        <v>565</v>
      </c>
      <c r="C10" s="492">
        <v>3593391000</v>
      </c>
    </row>
    <row r="11" spans="1:3" ht="15.75" customHeight="1">
      <c r="A11" s="474" t="s">
        <v>666</v>
      </c>
      <c r="B11" s="475" t="s">
        <v>567</v>
      </c>
      <c r="C11" s="492">
        <v>193685718</v>
      </c>
    </row>
    <row r="12" spans="1:3" ht="15.75" customHeight="1">
      <c r="A12" s="474" t="s">
        <v>667</v>
      </c>
      <c r="B12" s="475" t="s">
        <v>569</v>
      </c>
      <c r="C12" s="492"/>
    </row>
    <row r="13" spans="1:3" ht="15.75" customHeight="1">
      <c r="A13" s="474" t="s">
        <v>668</v>
      </c>
      <c r="B13" s="475" t="s">
        <v>571</v>
      </c>
      <c r="C13" s="493">
        <v>-363445610</v>
      </c>
    </row>
    <row r="14" spans="1:3" ht="15.75" customHeight="1">
      <c r="A14" s="474" t="s">
        <v>669</v>
      </c>
      <c r="B14" s="475" t="s">
        <v>573</v>
      </c>
      <c r="C14" s="493"/>
    </row>
    <row r="15" spans="1:3" ht="15.75" customHeight="1">
      <c r="A15" s="474" t="s">
        <v>670</v>
      </c>
      <c r="B15" s="475" t="s">
        <v>575</v>
      </c>
      <c r="C15" s="493">
        <v>71803852</v>
      </c>
    </row>
    <row r="16" spans="1:3" ht="15.75" customHeight="1">
      <c r="A16" s="474" t="s">
        <v>671</v>
      </c>
      <c r="B16" s="475" t="s">
        <v>577</v>
      </c>
      <c r="C16" s="494">
        <f>+C10+C11+C12+C13+C14+C15</f>
        <v>3495434960</v>
      </c>
    </row>
    <row r="17" spans="1:3" ht="15.75" customHeight="1">
      <c r="A17" s="474" t="s">
        <v>672</v>
      </c>
      <c r="B17" s="475" t="s">
        <v>579</v>
      </c>
      <c r="C17" s="495">
        <v>2672457</v>
      </c>
    </row>
    <row r="18" spans="1:3" ht="15.75" customHeight="1">
      <c r="A18" s="474" t="s">
        <v>673</v>
      </c>
      <c r="B18" s="475" t="s">
        <v>581</v>
      </c>
      <c r="C18" s="493">
        <v>5582130</v>
      </c>
    </row>
    <row r="19" spans="1:3" ht="15.75" customHeight="1">
      <c r="A19" s="474" t="s">
        <v>674</v>
      </c>
      <c r="B19" s="475" t="s">
        <v>15</v>
      </c>
      <c r="C19" s="493">
        <v>20315289</v>
      </c>
    </row>
    <row r="20" spans="1:3" ht="15.75" customHeight="1">
      <c r="A20" s="474" t="s">
        <v>675</v>
      </c>
      <c r="B20" s="475" t="s">
        <v>16</v>
      </c>
      <c r="C20" s="494">
        <f>+C17+C18+C19</f>
        <v>28569876</v>
      </c>
    </row>
    <row r="21" spans="1:3" s="496" customFormat="1" ht="15.75" customHeight="1">
      <c r="A21" s="474" t="s">
        <v>676</v>
      </c>
      <c r="B21" s="475" t="s">
        <v>17</v>
      </c>
      <c r="C21" s="493"/>
    </row>
    <row r="22" spans="1:3" ht="15.75" customHeight="1">
      <c r="A22" s="474" t="s">
        <v>677</v>
      </c>
      <c r="B22" s="475" t="s">
        <v>18</v>
      </c>
      <c r="C22" s="493">
        <v>11806126</v>
      </c>
    </row>
    <row r="23" spans="1:3" ht="15.75" customHeight="1" thickBot="1">
      <c r="A23" s="497" t="s">
        <v>678</v>
      </c>
      <c r="B23" s="482" t="s">
        <v>19</v>
      </c>
      <c r="C23" s="498">
        <f>+C16+C20+C21+C22</f>
        <v>3535810962</v>
      </c>
    </row>
    <row r="24" spans="1:5" ht="15">
      <c r="A24" s="484"/>
      <c r="B24" s="486"/>
      <c r="C24" s="485"/>
      <c r="D24" s="485"/>
      <c r="E24" s="485"/>
    </row>
    <row r="25" spans="1:5" ht="15">
      <c r="A25" s="484"/>
      <c r="B25" s="486"/>
      <c r="C25" s="485"/>
      <c r="D25" s="485"/>
      <c r="E25" s="485"/>
    </row>
    <row r="26" spans="1:5" ht="15">
      <c r="A26" s="486"/>
      <c r="B26" s="486"/>
      <c r="C26" s="485"/>
      <c r="D26" s="485"/>
      <c r="E26" s="485"/>
    </row>
    <row r="27" spans="1:5" ht="15">
      <c r="A27" s="863"/>
      <c r="B27" s="863"/>
      <c r="C27" s="863"/>
      <c r="D27" s="499"/>
      <c r="E27" s="499"/>
    </row>
    <row r="28" spans="1:5" ht="15">
      <c r="A28" s="863"/>
      <c r="B28" s="863"/>
      <c r="C28" s="863"/>
      <c r="D28" s="499"/>
      <c r="E28" s="499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7"/>
  <sheetViews>
    <sheetView zoomScale="120" zoomScaleNormal="120" workbookViewId="0" topLeftCell="A1">
      <selection activeCell="A5" sqref="A5:C5"/>
    </sheetView>
  </sheetViews>
  <sheetFormatPr defaultColWidth="12.00390625" defaultRowHeight="12.75"/>
  <cols>
    <col min="1" max="1" width="58.75390625" style="501" customWidth="1"/>
    <col min="2" max="2" width="6.75390625" style="501" customWidth="1"/>
    <col min="3" max="3" width="19.125" style="501" customWidth="1"/>
    <col min="4" max="16384" width="12.00390625" style="501" customWidth="1"/>
  </cols>
  <sheetData>
    <row r="1" spans="1:3" ht="16.5" customHeight="1">
      <c r="A1" s="880" t="str">
        <f>CONCATENATE("7.3. tájékoztató tábla ",Z_ALAPADATOK!A7," ",Z_ALAPADATOK!B7," ",Z_ALAPADATOK!C7," ",Z_ALAPADATOK!D7," ",Z_ALAPADATOK!E7," ",Z_ALAPADATOK!F7," ",Z_ALAPADATOK!G7," ",Z_ALAPADATOK!H7)</f>
        <v>7.3. tájékoztató tábla a … / 2020. ( … ) önkormányzati rendelethez</v>
      </c>
      <c r="B1" s="880"/>
      <c r="C1" s="880"/>
    </row>
    <row r="2" s="582" customFormat="1" ht="16.5" customHeight="1"/>
    <row r="3" spans="1:3" s="522" customFormat="1" ht="16.5" customHeight="1">
      <c r="A3" s="881" t="s">
        <v>724</v>
      </c>
      <c r="B3" s="881"/>
      <c r="C3" s="881"/>
    </row>
    <row r="4" spans="1:3" s="522" customFormat="1" ht="16.5" customHeight="1">
      <c r="A4" s="881" t="s">
        <v>728</v>
      </c>
      <c r="B4" s="881"/>
      <c r="C4" s="881"/>
    </row>
    <row r="5" spans="1:3" s="522" customFormat="1" ht="16.5" customHeight="1">
      <c r="A5" s="876" t="s">
        <v>936</v>
      </c>
      <c r="B5" s="877"/>
      <c r="C5" s="877"/>
    </row>
    <row r="6" ht="16.5" customHeight="1" thickBot="1"/>
    <row r="7" spans="1:3" ht="43.5" customHeight="1" thickBot="1">
      <c r="A7" s="502" t="s">
        <v>45</v>
      </c>
      <c r="B7" s="503" t="s">
        <v>559</v>
      </c>
      <c r="C7" s="504" t="s">
        <v>679</v>
      </c>
    </row>
    <row r="8" spans="1:3" ht="15.75" thickBot="1">
      <c r="A8" s="505" t="s">
        <v>381</v>
      </c>
      <c r="B8" s="506" t="s">
        <v>382</v>
      </c>
      <c r="C8" s="507" t="s">
        <v>385</v>
      </c>
    </row>
    <row r="9" spans="1:3" ht="15.75" customHeight="1">
      <c r="A9" s="508" t="s">
        <v>680</v>
      </c>
      <c r="B9" s="509" t="s">
        <v>6</v>
      </c>
      <c r="C9" s="510"/>
    </row>
    <row r="10" spans="1:3" ht="15.75" customHeight="1">
      <c r="A10" s="508" t="s">
        <v>930</v>
      </c>
      <c r="B10" s="511" t="s">
        <v>7</v>
      </c>
      <c r="C10" s="512">
        <v>11116920</v>
      </c>
    </row>
    <row r="11" spans="1:3" ht="15.75" customHeight="1">
      <c r="A11" s="508" t="s">
        <v>931</v>
      </c>
      <c r="B11" s="511" t="s">
        <v>8</v>
      </c>
      <c r="C11" s="512">
        <v>1836657</v>
      </c>
    </row>
    <row r="12" spans="1:3" ht="15.75" customHeight="1">
      <c r="A12" s="513" t="s">
        <v>932</v>
      </c>
      <c r="B12" s="511" t="s">
        <v>9</v>
      </c>
      <c r="C12" s="514">
        <v>16710097</v>
      </c>
    </row>
    <row r="13" spans="1:3" ht="15.75" customHeight="1" thickBot="1">
      <c r="A13" s="513" t="s">
        <v>681</v>
      </c>
      <c r="B13" s="511" t="s">
        <v>10</v>
      </c>
      <c r="C13" s="514"/>
    </row>
    <row r="14" spans="1:3" ht="15.75" customHeight="1" thickBot="1">
      <c r="A14" s="515" t="s">
        <v>682</v>
      </c>
      <c r="B14" s="511" t="s">
        <v>11</v>
      </c>
      <c r="C14" s="516">
        <f>+C15+C16+C17+C18</f>
        <v>0</v>
      </c>
    </row>
    <row r="15" spans="1:3" ht="15.75" customHeight="1">
      <c r="A15" s="517" t="s">
        <v>683</v>
      </c>
      <c r="B15" s="511" t="s">
        <v>12</v>
      </c>
      <c r="C15" s="510"/>
    </row>
    <row r="16" spans="1:3" ht="15.75" customHeight="1">
      <c r="A16" s="508" t="s">
        <v>684</v>
      </c>
      <c r="B16" s="511" t="s">
        <v>13</v>
      </c>
      <c r="C16" s="512"/>
    </row>
    <row r="17" spans="1:3" ht="15.75" customHeight="1">
      <c r="A17" s="508" t="s">
        <v>685</v>
      </c>
      <c r="B17" s="511" t="s">
        <v>14</v>
      </c>
      <c r="C17" s="512"/>
    </row>
    <row r="18" spans="1:3" ht="15.75" customHeight="1" thickBot="1">
      <c r="A18" s="513" t="s">
        <v>686</v>
      </c>
      <c r="B18" s="511" t="s">
        <v>15</v>
      </c>
      <c r="C18" s="514"/>
    </row>
    <row r="19" spans="1:3" ht="15.75" customHeight="1" thickBot="1">
      <c r="A19" s="515" t="s">
        <v>687</v>
      </c>
      <c r="B19" s="511" t="s">
        <v>16</v>
      </c>
      <c r="C19" s="516">
        <f>+C20+C21+C22</f>
        <v>0</v>
      </c>
    </row>
    <row r="20" spans="1:3" ht="15.75" customHeight="1">
      <c r="A20" s="517" t="s">
        <v>688</v>
      </c>
      <c r="B20" s="511" t="s">
        <v>17</v>
      </c>
      <c r="C20" s="510"/>
    </row>
    <row r="21" spans="1:3" ht="15.75" customHeight="1">
      <c r="A21" s="508" t="s">
        <v>689</v>
      </c>
      <c r="B21" s="511" t="s">
        <v>18</v>
      </c>
      <c r="C21" s="512"/>
    </row>
    <row r="22" spans="1:3" ht="15.75" customHeight="1" thickBot="1">
      <c r="A22" s="513" t="s">
        <v>690</v>
      </c>
      <c r="B22" s="511" t="s">
        <v>19</v>
      </c>
      <c r="C22" s="514"/>
    </row>
    <row r="23" spans="1:3" ht="15.75" customHeight="1" thickBot="1">
      <c r="A23" s="515" t="s">
        <v>691</v>
      </c>
      <c r="B23" s="511" t="s">
        <v>20</v>
      </c>
      <c r="C23" s="516">
        <f>+C24+C25+C26</f>
        <v>0</v>
      </c>
    </row>
    <row r="24" spans="1:3" ht="15.75" customHeight="1">
      <c r="A24" s="517" t="s">
        <v>692</v>
      </c>
      <c r="B24" s="511" t="s">
        <v>21</v>
      </c>
      <c r="C24" s="510"/>
    </row>
    <row r="25" spans="1:3" ht="15.75" customHeight="1">
      <c r="A25" s="508" t="s">
        <v>693</v>
      </c>
      <c r="B25" s="511" t="s">
        <v>22</v>
      </c>
      <c r="C25" s="512"/>
    </row>
    <row r="26" spans="1:3" ht="15.75" customHeight="1">
      <c r="A26" s="508" t="s">
        <v>694</v>
      </c>
      <c r="B26" s="511" t="s">
        <v>23</v>
      </c>
      <c r="C26" s="512"/>
    </row>
    <row r="27" spans="1:3" ht="15.75" customHeight="1">
      <c r="A27" s="508" t="s">
        <v>695</v>
      </c>
      <c r="B27" s="511" t="s">
        <v>24</v>
      </c>
      <c r="C27" s="512"/>
    </row>
    <row r="28" spans="1:3" ht="15.75" customHeight="1">
      <c r="A28" s="508"/>
      <c r="B28" s="511" t="s">
        <v>25</v>
      </c>
      <c r="C28" s="512"/>
    </row>
    <row r="29" spans="1:3" ht="15.75" customHeight="1">
      <c r="A29" s="508"/>
      <c r="B29" s="511" t="s">
        <v>26</v>
      </c>
      <c r="C29" s="512"/>
    </row>
    <row r="30" spans="1:3" ht="15.75" customHeight="1">
      <c r="A30" s="508"/>
      <c r="B30" s="511" t="s">
        <v>27</v>
      </c>
      <c r="C30" s="512"/>
    </row>
    <row r="31" spans="1:3" ht="15.75" customHeight="1">
      <c r="A31" s="508"/>
      <c r="B31" s="511" t="s">
        <v>28</v>
      </c>
      <c r="C31" s="512"/>
    </row>
    <row r="32" spans="1:3" ht="15.75" customHeight="1">
      <c r="A32" s="508"/>
      <c r="B32" s="511" t="s">
        <v>29</v>
      </c>
      <c r="C32" s="512"/>
    </row>
    <row r="33" spans="1:3" ht="15.75" customHeight="1">
      <c r="A33" s="508"/>
      <c r="B33" s="511" t="s">
        <v>30</v>
      </c>
      <c r="C33" s="512"/>
    </row>
    <row r="34" spans="1:3" ht="15.75" customHeight="1">
      <c r="A34" s="508"/>
      <c r="B34" s="511" t="s">
        <v>31</v>
      </c>
      <c r="C34" s="512"/>
    </row>
    <row r="35" spans="1:3" ht="15.75" customHeight="1">
      <c r="A35" s="508"/>
      <c r="B35" s="511" t="s">
        <v>32</v>
      </c>
      <c r="C35" s="512"/>
    </row>
    <row r="36" spans="1:3" ht="15.75" customHeight="1">
      <c r="A36" s="508"/>
      <c r="B36" s="511" t="s">
        <v>33</v>
      </c>
      <c r="C36" s="512"/>
    </row>
    <row r="37" spans="1:3" ht="15.75" customHeight="1">
      <c r="A37" s="508"/>
      <c r="B37" s="511" t="s">
        <v>553</v>
      </c>
      <c r="C37" s="512"/>
    </row>
    <row r="38" spans="1:3" ht="15.75" customHeight="1">
      <c r="A38" s="508"/>
      <c r="B38" s="511" t="s">
        <v>554</v>
      </c>
      <c r="C38" s="512"/>
    </row>
    <row r="39" spans="1:3" ht="15.75" customHeight="1">
      <c r="A39" s="508"/>
      <c r="B39" s="511" t="s">
        <v>555</v>
      </c>
      <c r="C39" s="512"/>
    </row>
    <row r="40" spans="1:3" ht="15.75" customHeight="1">
      <c r="A40" s="508"/>
      <c r="B40" s="511" t="s">
        <v>556</v>
      </c>
      <c r="C40" s="512"/>
    </row>
    <row r="41" spans="1:3" ht="15.75" customHeight="1">
      <c r="A41" s="508"/>
      <c r="B41" s="511" t="s">
        <v>557</v>
      </c>
      <c r="C41" s="512"/>
    </row>
    <row r="42" spans="1:3" ht="15.75" customHeight="1" thickBot="1">
      <c r="A42" s="513"/>
      <c r="B42" s="511" t="s">
        <v>607</v>
      </c>
      <c r="C42" s="514"/>
    </row>
    <row r="43" spans="1:5" ht="15.75" customHeight="1" thickBot="1">
      <c r="A43" s="878" t="s">
        <v>696</v>
      </c>
      <c r="B43" s="879"/>
      <c r="C43" s="516">
        <f>+C9+C10+C11+C12+C13+C14+C19+C23+C27+C28+C29+C30+C31+C32+C33+C34+C35+C36+C37+C38+C39+C40+C41+C42</f>
        <v>29663674</v>
      </c>
      <c r="E43" s="518"/>
    </row>
    <row r="44" ht="15">
      <c r="A44" s="519" t="s">
        <v>697</v>
      </c>
    </row>
    <row r="45" spans="1:3" ht="15">
      <c r="A45" s="520"/>
      <c r="B45" s="520"/>
      <c r="C45" s="688"/>
    </row>
    <row r="46" spans="1:2" ht="15">
      <c r="A46" s="521"/>
      <c r="B46" s="521"/>
    </row>
    <row r="47" spans="1:2" ht="15">
      <c r="A47" s="521"/>
      <c r="B47" s="521"/>
    </row>
  </sheetData>
  <sheetProtection/>
  <mergeCells count="5">
    <mergeCell ref="A5:C5"/>
    <mergeCell ref="A43:B43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O19" sqref="O19"/>
    </sheetView>
  </sheetViews>
  <sheetFormatPr defaultColWidth="9.375" defaultRowHeight="12.75"/>
  <cols>
    <col min="1" max="1" width="9.375" style="76" customWidth="1"/>
    <col min="2" max="2" width="51.75390625" style="76" customWidth="1"/>
    <col min="3" max="3" width="25.00390625" style="76" customWidth="1"/>
    <col min="4" max="4" width="22.75390625" style="76" customWidth="1"/>
    <col min="5" max="5" width="25.00390625" style="76" customWidth="1"/>
    <col min="6" max="6" width="5.50390625" style="76" customWidth="1"/>
    <col min="7" max="16384" width="9.375" style="76" customWidth="1"/>
  </cols>
  <sheetData>
    <row r="1" spans="1:5" ht="12.75">
      <c r="A1" s="586"/>
      <c r="B1" s="586"/>
      <c r="C1" s="586"/>
      <c r="D1" s="586"/>
      <c r="E1" s="586"/>
    </row>
    <row r="2" spans="1:5" ht="15">
      <c r="A2" s="763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763"/>
      <c r="C2" s="763"/>
      <c r="D2" s="763"/>
      <c r="E2" s="763"/>
    </row>
    <row r="3" spans="1:6" ht="15">
      <c r="A3" s="885" t="s">
        <v>937</v>
      </c>
      <c r="B3" s="763"/>
      <c r="C3" s="763"/>
      <c r="D3" s="763"/>
      <c r="E3" s="763"/>
      <c r="F3" s="882" t="str">
        <f>CONCATENATE("8. tájékoztató tábla ",Z_ALAPADATOK!A7," ",Z_ALAPADATOK!B7," ",Z_ALAPADATOK!C7," ",Z_ALAPADATOK!D7," ",Z_ALAPADATOK!E7," ",Z_ALAPADATOK!F7," ",Z_ALAPADATOK!G7," ",Z_ALAPADATOK!H7)</f>
        <v>8. tájékoztató tábla a … / 2020. ( … ) önkormányzati rendelethez</v>
      </c>
    </row>
    <row r="4" spans="1:6" ht="15.75" thickBot="1">
      <c r="A4" s="587"/>
      <c r="B4" s="586"/>
      <c r="C4" s="586"/>
      <c r="D4" s="586"/>
      <c r="E4" s="586"/>
      <c r="F4" s="882"/>
    </row>
    <row r="5" spans="1:6" ht="63" thickBot="1">
      <c r="A5" s="588" t="s">
        <v>559</v>
      </c>
      <c r="B5" s="589" t="s">
        <v>698</v>
      </c>
      <c r="C5" s="589" t="s">
        <v>699</v>
      </c>
      <c r="D5" s="589" t="s">
        <v>700</v>
      </c>
      <c r="E5" s="590" t="s">
        <v>701</v>
      </c>
      <c r="F5" s="882"/>
    </row>
    <row r="6" spans="1:6" ht="30.75">
      <c r="A6" s="583" t="s">
        <v>6</v>
      </c>
      <c r="B6" s="727" t="s">
        <v>933</v>
      </c>
      <c r="C6" s="728">
        <v>0.45</v>
      </c>
      <c r="D6" s="729">
        <v>5639575</v>
      </c>
      <c r="E6" s="524"/>
      <c r="F6" s="882"/>
    </row>
    <row r="7" spans="1:6" ht="15">
      <c r="A7" s="584" t="s">
        <v>7</v>
      </c>
      <c r="B7" s="727"/>
      <c r="C7" s="728"/>
      <c r="D7" s="729"/>
      <c r="E7" s="528"/>
      <c r="F7" s="882"/>
    </row>
    <row r="8" spans="1:6" ht="15">
      <c r="A8" s="584" t="s">
        <v>8</v>
      </c>
      <c r="B8" s="525"/>
      <c r="C8" s="526"/>
      <c r="D8" s="527"/>
      <c r="E8" s="528"/>
      <c r="F8" s="882"/>
    </row>
    <row r="9" spans="1:6" ht="15">
      <c r="A9" s="584" t="s">
        <v>9</v>
      </c>
      <c r="B9" s="525"/>
      <c r="C9" s="526"/>
      <c r="D9" s="527"/>
      <c r="E9" s="528"/>
      <c r="F9" s="882"/>
    </row>
    <row r="10" spans="1:6" ht="15">
      <c r="A10" s="584" t="s">
        <v>10</v>
      </c>
      <c r="B10" s="525"/>
      <c r="C10" s="526"/>
      <c r="D10" s="527"/>
      <c r="E10" s="528"/>
      <c r="F10" s="882"/>
    </row>
    <row r="11" spans="1:6" ht="15">
      <c r="A11" s="584" t="s">
        <v>11</v>
      </c>
      <c r="B11" s="525"/>
      <c r="C11" s="526"/>
      <c r="D11" s="527"/>
      <c r="E11" s="528"/>
      <c r="F11" s="882"/>
    </row>
    <row r="12" spans="1:6" ht="15">
      <c r="A12" s="584" t="s">
        <v>12</v>
      </c>
      <c r="B12" s="525"/>
      <c r="C12" s="526"/>
      <c r="D12" s="527"/>
      <c r="E12" s="528"/>
      <c r="F12" s="882"/>
    </row>
    <row r="13" spans="1:6" ht="15">
      <c r="A13" s="584" t="s">
        <v>13</v>
      </c>
      <c r="B13" s="525"/>
      <c r="C13" s="526"/>
      <c r="D13" s="527"/>
      <c r="E13" s="528"/>
      <c r="F13" s="882"/>
    </row>
    <row r="14" spans="1:6" ht="15">
      <c r="A14" s="584" t="s">
        <v>14</v>
      </c>
      <c r="B14" s="525"/>
      <c r="C14" s="526"/>
      <c r="D14" s="527"/>
      <c r="E14" s="528"/>
      <c r="F14" s="882"/>
    </row>
    <row r="15" spans="1:6" ht="15">
      <c r="A15" s="584" t="s">
        <v>15</v>
      </c>
      <c r="B15" s="525"/>
      <c r="C15" s="526"/>
      <c r="D15" s="527"/>
      <c r="E15" s="528"/>
      <c r="F15" s="882"/>
    </row>
    <row r="16" spans="1:6" ht="15">
      <c r="A16" s="584" t="s">
        <v>16</v>
      </c>
      <c r="B16" s="525"/>
      <c r="C16" s="526"/>
      <c r="D16" s="527"/>
      <c r="E16" s="528"/>
      <c r="F16" s="882"/>
    </row>
    <row r="17" spans="1:6" ht="15">
      <c r="A17" s="584" t="s">
        <v>17</v>
      </c>
      <c r="B17" s="525"/>
      <c r="C17" s="526"/>
      <c r="D17" s="527"/>
      <c r="E17" s="528"/>
      <c r="F17" s="882"/>
    </row>
    <row r="18" spans="1:6" ht="15">
      <c r="A18" s="584" t="s">
        <v>18</v>
      </c>
      <c r="B18" s="525"/>
      <c r="C18" s="526"/>
      <c r="D18" s="527"/>
      <c r="E18" s="528"/>
      <c r="F18" s="882"/>
    </row>
    <row r="19" spans="1:6" ht="15">
      <c r="A19" s="584" t="s">
        <v>19</v>
      </c>
      <c r="B19" s="525"/>
      <c r="C19" s="526"/>
      <c r="D19" s="527"/>
      <c r="E19" s="528"/>
      <c r="F19" s="882"/>
    </row>
    <row r="20" spans="1:6" ht="15">
      <c r="A20" s="584" t="s">
        <v>20</v>
      </c>
      <c r="B20" s="525"/>
      <c r="C20" s="526"/>
      <c r="D20" s="527"/>
      <c r="E20" s="528"/>
      <c r="F20" s="882"/>
    </row>
    <row r="21" spans="1:6" ht="15">
      <c r="A21" s="584" t="s">
        <v>21</v>
      </c>
      <c r="B21" s="525"/>
      <c r="C21" s="526"/>
      <c r="D21" s="527"/>
      <c r="E21" s="528"/>
      <c r="F21" s="882"/>
    </row>
    <row r="22" spans="1:6" ht="15.75" thickBot="1">
      <c r="A22" s="585" t="s">
        <v>22</v>
      </c>
      <c r="B22" s="529"/>
      <c r="C22" s="530"/>
      <c r="D22" s="531"/>
      <c r="E22" s="532"/>
      <c r="F22" s="882"/>
    </row>
    <row r="23" spans="1:6" ht="15.75" thickBot="1">
      <c r="A23" s="883" t="s">
        <v>702</v>
      </c>
      <c r="B23" s="884"/>
      <c r="C23" s="533"/>
      <c r="D23" s="534">
        <f>IF(SUM(D6:D22)=0,"",SUM(D6:D22))</f>
        <v>5639575</v>
      </c>
      <c r="E23" s="535">
        <f>IF(SUM(E6:E22)=0,"",SUM(E6:E22))</f>
      </c>
      <c r="F23" s="882"/>
    </row>
    <row r="24" ht="15">
      <c r="A24" s="523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H14" sqref="H14"/>
    </sheetView>
  </sheetViews>
  <sheetFormatPr defaultColWidth="9.375" defaultRowHeight="12.75"/>
  <cols>
    <col min="1" max="1" width="7.625" style="31" customWidth="1"/>
    <col min="2" max="2" width="60.75390625" style="31" customWidth="1"/>
    <col min="3" max="3" width="25.625" style="31" customWidth="1"/>
    <col min="4" max="16384" width="9.375" style="31" customWidth="1"/>
  </cols>
  <sheetData>
    <row r="2" spans="1:3" ht="13.5">
      <c r="A2" s="846" t="str">
        <f>CONCATENATE("9. tájékoztató tábla ",Z_ALAPADATOK!A7," ",Z_ALAPADATOK!B7," ",Z_ALAPADATOK!C7," ",Z_ALAPADATOK!D7," ",Z_ALAPADATOK!E7," ",Z_ALAPADATOK!F7," ",Z_ALAPADATOK!G7," ",Z_ALAPADATOK!H7)</f>
        <v>9. tájékoztató tábla a … / 2020. ( … ) önkormányzati rendelethez</v>
      </c>
      <c r="B2" s="887"/>
      <c r="C2" s="887"/>
    </row>
    <row r="3" spans="1:3" ht="13.5">
      <c r="A3" s="536"/>
      <c r="B3" s="536"/>
      <c r="C3" s="536"/>
    </row>
    <row r="4" spans="1:3" ht="33.75" customHeight="1">
      <c r="A4" s="886" t="s">
        <v>703</v>
      </c>
      <c r="B4" s="886"/>
      <c r="C4" s="886"/>
    </row>
    <row r="5" ht="13.5" thickBot="1">
      <c r="C5" s="537"/>
    </row>
    <row r="6" spans="1:3" s="541" customFormat="1" ht="43.5" customHeight="1" thickBot="1">
      <c r="A6" s="538" t="s">
        <v>4</v>
      </c>
      <c r="B6" s="539" t="s">
        <v>45</v>
      </c>
      <c r="C6" s="540" t="s">
        <v>704</v>
      </c>
    </row>
    <row r="7" spans="1:3" ht="28.5" customHeight="1">
      <c r="A7" s="542" t="s">
        <v>6</v>
      </c>
      <c r="B7" s="543" t="s">
        <v>934</v>
      </c>
      <c r="C7" s="640">
        <v>206758765</v>
      </c>
    </row>
    <row r="8" spans="1:3" ht="18" customHeight="1">
      <c r="A8" s="544" t="s">
        <v>7</v>
      </c>
      <c r="B8" s="545" t="s">
        <v>705</v>
      </c>
      <c r="C8" s="591">
        <v>206105065</v>
      </c>
    </row>
    <row r="9" spans="1:3" ht="18" customHeight="1">
      <c r="A9" s="544" t="s">
        <v>8</v>
      </c>
      <c r="B9" s="545" t="s">
        <v>706</v>
      </c>
      <c r="C9" s="591">
        <v>653700</v>
      </c>
    </row>
    <row r="10" spans="1:3" ht="18" customHeight="1">
      <c r="A10" s="544" t="s">
        <v>9</v>
      </c>
      <c r="B10" s="546" t="s">
        <v>707</v>
      </c>
      <c r="C10" s="591">
        <v>1152206765</v>
      </c>
    </row>
    <row r="11" spans="1:3" ht="18" customHeight="1">
      <c r="A11" s="547" t="s">
        <v>10</v>
      </c>
      <c r="B11" s="548" t="s">
        <v>708</v>
      </c>
      <c r="C11" s="592">
        <v>1113926179</v>
      </c>
    </row>
    <row r="12" spans="1:3" ht="18" customHeight="1" thickBot="1">
      <c r="A12" s="549" t="s">
        <v>11</v>
      </c>
      <c r="B12" s="550" t="s">
        <v>709</v>
      </c>
      <c r="C12" s="593">
        <v>-4456055</v>
      </c>
    </row>
    <row r="13" spans="1:3" ht="25.5" customHeight="1">
      <c r="A13" s="551" t="s">
        <v>12</v>
      </c>
      <c r="B13" s="552" t="s">
        <v>935</v>
      </c>
      <c r="C13" s="594">
        <f>C7+C10-C11+C12</f>
        <v>240583296</v>
      </c>
    </row>
    <row r="14" spans="1:3" ht="18" customHeight="1">
      <c r="A14" s="544" t="s">
        <v>13</v>
      </c>
      <c r="B14" s="545" t="s">
        <v>705</v>
      </c>
      <c r="C14" s="591">
        <v>239898481</v>
      </c>
    </row>
    <row r="15" spans="1:3" ht="18" customHeight="1" thickBot="1">
      <c r="A15" s="549" t="s">
        <v>14</v>
      </c>
      <c r="B15" s="553" t="s">
        <v>706</v>
      </c>
      <c r="C15" s="593">
        <v>684815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tabSelected="1" zoomScale="120" zoomScaleNormal="120" zoomScaleSheetLayoutView="100" workbookViewId="0" topLeftCell="A1">
      <selection activeCell="G1" sqref="G1:T16384"/>
    </sheetView>
  </sheetViews>
  <sheetFormatPr defaultColWidth="9.375" defaultRowHeight="12.75"/>
  <cols>
    <col min="1" max="1" width="9.50390625" style="145" customWidth="1"/>
    <col min="2" max="2" width="65.75390625" style="145" customWidth="1"/>
    <col min="3" max="3" width="17.75390625" style="146" customWidth="1"/>
    <col min="4" max="6" width="17.75390625" style="167" customWidth="1"/>
    <col min="7" max="7" width="13.125" style="167" customWidth="1"/>
    <col min="8" max="8" width="12.375" style="167" customWidth="1"/>
    <col min="9" max="9" width="13.125" style="167" customWidth="1"/>
    <col min="10" max="16384" width="9.375" style="167" customWidth="1"/>
  </cols>
  <sheetData>
    <row r="1" spans="1:6" ht="15">
      <c r="A1" s="367"/>
      <c r="B1" s="756" t="str">
        <f>CONCATENATE("1.1. melléklet ",Z_ALAPADATOK!A7," ",Z_ALAPADATOK!B7," ",Z_ALAPADATOK!C7," ",Z_ALAPADATOK!D7," ",Z_ALAPADATOK!E7," ",Z_ALAPADATOK!F7," ",Z_ALAPADATOK!G7," ",Z_ALAPADATOK!H7)</f>
        <v>1.1. melléklet a … / 2020. ( … ) önkormányzati rendelethez</v>
      </c>
      <c r="C1" s="757"/>
      <c r="D1" s="757"/>
      <c r="E1" s="757"/>
      <c r="F1" s="644"/>
    </row>
    <row r="2" spans="1:6" ht="15">
      <c r="A2" s="758" t="str">
        <f>CONCATENATE(Z_ALAPADATOK!A3)</f>
        <v>Balatonvilágos Község Önkormányzata</v>
      </c>
      <c r="B2" s="759"/>
      <c r="C2" s="759"/>
      <c r="D2" s="759"/>
      <c r="E2" s="759"/>
      <c r="F2" s="646"/>
    </row>
    <row r="3" spans="1:6" ht="15">
      <c r="A3" s="758" t="s">
        <v>807</v>
      </c>
      <c r="B3" s="758"/>
      <c r="C3" s="760"/>
      <c r="D3" s="758"/>
      <c r="E3" s="758"/>
      <c r="F3" s="645"/>
    </row>
    <row r="4" spans="1:6" ht="12" customHeight="1">
      <c r="A4" s="758"/>
      <c r="B4" s="758"/>
      <c r="C4" s="760"/>
      <c r="D4" s="758"/>
      <c r="E4" s="758"/>
      <c r="F4" s="645"/>
    </row>
    <row r="5" spans="1:6" ht="15">
      <c r="A5" s="367"/>
      <c r="B5" s="367"/>
      <c r="C5" s="368"/>
      <c r="D5" s="369"/>
      <c r="E5" s="369"/>
      <c r="F5" s="369"/>
    </row>
    <row r="6" spans="1:6" ht="15.75" customHeight="1">
      <c r="A6" s="761" t="s">
        <v>3</v>
      </c>
      <c r="B6" s="761"/>
      <c r="C6" s="761"/>
      <c r="D6" s="761"/>
      <c r="E6" s="761"/>
      <c r="F6" s="642"/>
    </row>
    <row r="7" spans="1:6" ht="15.75" customHeight="1" thickBot="1">
      <c r="A7" s="762" t="s">
        <v>99</v>
      </c>
      <c r="B7" s="762"/>
      <c r="C7" s="370"/>
      <c r="D7" s="369"/>
      <c r="E7" s="370" t="s">
        <v>492</v>
      </c>
      <c r="F7" s="370"/>
    </row>
    <row r="8" spans="1:6" ht="1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  <c r="F8" s="647"/>
    </row>
    <row r="9" spans="1:6" ht="23.25" thickBot="1">
      <c r="A9" s="747"/>
      <c r="B9" s="749"/>
      <c r="C9" s="238" t="s">
        <v>414</v>
      </c>
      <c r="D9" s="237" t="s">
        <v>415</v>
      </c>
      <c r="E9" s="356" t="str">
        <f>+CONCATENATE(LEFT(Z_ÖSSZEFÜGGÉSEK!A6,4),". XII. 31.",CHAR(10),"teljesítés")</f>
        <v>2019. XII. 31.
teljesítés</v>
      </c>
      <c r="F9" s="648"/>
    </row>
    <row r="10" spans="1:6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  <c r="F10" s="649"/>
    </row>
    <row r="11" spans="1:6" s="169" customFormat="1" ht="12" customHeight="1" thickBot="1">
      <c r="A11" s="18" t="s">
        <v>6</v>
      </c>
      <c r="B11" s="19" t="s">
        <v>156</v>
      </c>
      <c r="C11" s="157">
        <f>+C12+C13+C14+C15+C16+C17</f>
        <v>114843006</v>
      </c>
      <c r="D11" s="157">
        <f>+D12+D13+D14+D15+D16+D17</f>
        <v>123109630</v>
      </c>
      <c r="E11" s="93">
        <f>+E12+E13+E14+E15+E16+E17</f>
        <v>123109630</v>
      </c>
      <c r="F11" s="650"/>
    </row>
    <row r="12" spans="1:6" s="169" customFormat="1" ht="12" customHeight="1">
      <c r="A12" s="13" t="s">
        <v>64</v>
      </c>
      <c r="B12" s="170" t="s">
        <v>157</v>
      </c>
      <c r="C12" s="159">
        <v>40818439</v>
      </c>
      <c r="D12" s="159">
        <v>42128995</v>
      </c>
      <c r="E12" s="95">
        <v>42128995</v>
      </c>
      <c r="F12" s="651"/>
    </row>
    <row r="13" spans="1:6" s="169" customFormat="1" ht="12" customHeight="1">
      <c r="A13" s="12" t="s">
        <v>65</v>
      </c>
      <c r="B13" s="171" t="s">
        <v>158</v>
      </c>
      <c r="C13" s="158">
        <v>36859717</v>
      </c>
      <c r="D13" s="158">
        <v>38563100</v>
      </c>
      <c r="E13" s="94">
        <v>38563100</v>
      </c>
      <c r="F13" s="651"/>
    </row>
    <row r="14" spans="1:6" s="169" customFormat="1" ht="12" customHeight="1">
      <c r="A14" s="12" t="s">
        <v>66</v>
      </c>
      <c r="B14" s="171" t="s">
        <v>159</v>
      </c>
      <c r="C14" s="158">
        <v>35364850</v>
      </c>
      <c r="D14" s="158">
        <v>28917785</v>
      </c>
      <c r="E14" s="94">
        <v>28917785</v>
      </c>
      <c r="F14" s="651"/>
    </row>
    <row r="15" spans="1:6" s="169" customFormat="1" ht="12" customHeight="1">
      <c r="A15" s="12" t="s">
        <v>67</v>
      </c>
      <c r="B15" s="171" t="s">
        <v>160</v>
      </c>
      <c r="C15" s="158">
        <v>1800000</v>
      </c>
      <c r="D15" s="158">
        <v>1808000</v>
      </c>
      <c r="E15" s="94">
        <v>1808000</v>
      </c>
      <c r="F15" s="651"/>
    </row>
    <row r="16" spans="1:6" s="169" customFormat="1" ht="12" customHeight="1">
      <c r="A16" s="12" t="s">
        <v>96</v>
      </c>
      <c r="B16" s="101" t="s">
        <v>329</v>
      </c>
      <c r="C16" s="158"/>
      <c r="D16" s="158">
        <v>11691750</v>
      </c>
      <c r="E16" s="94">
        <v>11691750</v>
      </c>
      <c r="F16" s="651"/>
    </row>
    <row r="17" spans="1:6" s="169" customFormat="1" ht="12" customHeight="1" thickBot="1">
      <c r="A17" s="14" t="s">
        <v>68</v>
      </c>
      <c r="B17" s="102" t="s">
        <v>330</v>
      </c>
      <c r="C17" s="158"/>
      <c r="D17" s="158"/>
      <c r="E17" s="94"/>
      <c r="F17" s="651"/>
    </row>
    <row r="18" spans="1:6" s="169" customFormat="1" ht="12" customHeight="1" thickBot="1">
      <c r="A18" s="18" t="s">
        <v>7</v>
      </c>
      <c r="B18" s="100" t="s">
        <v>161</v>
      </c>
      <c r="C18" s="157">
        <f>+C19+C20+C21+C22+C23</f>
        <v>17284914</v>
      </c>
      <c r="D18" s="157">
        <f>+D19+D20+D21+D22+D23</f>
        <v>20516737</v>
      </c>
      <c r="E18" s="93">
        <f>+E19+E20+E21+E22+E23</f>
        <v>21041960</v>
      </c>
      <c r="F18" s="650"/>
    </row>
    <row r="19" spans="1:6" s="169" customFormat="1" ht="12" customHeight="1">
      <c r="A19" s="13" t="s">
        <v>70</v>
      </c>
      <c r="B19" s="170" t="s">
        <v>162</v>
      </c>
      <c r="C19" s="159"/>
      <c r="D19" s="159"/>
      <c r="E19" s="95"/>
      <c r="F19" s="651"/>
    </row>
    <row r="20" spans="1:6" s="169" customFormat="1" ht="12" customHeight="1">
      <c r="A20" s="12" t="s">
        <v>71</v>
      </c>
      <c r="B20" s="171" t="s">
        <v>163</v>
      </c>
      <c r="C20" s="158"/>
      <c r="D20" s="158"/>
      <c r="E20" s="94"/>
      <c r="F20" s="651"/>
    </row>
    <row r="21" spans="1:6" s="169" customFormat="1" ht="12" customHeight="1">
      <c r="A21" s="12" t="s">
        <v>72</v>
      </c>
      <c r="B21" s="171" t="s">
        <v>321</v>
      </c>
      <c r="C21" s="158"/>
      <c r="D21" s="158"/>
      <c r="E21" s="94"/>
      <c r="F21" s="651"/>
    </row>
    <row r="22" spans="1:6" s="169" customFormat="1" ht="12" customHeight="1">
      <c r="A22" s="12" t="s">
        <v>73</v>
      </c>
      <c r="B22" s="171" t="s">
        <v>322</v>
      </c>
      <c r="C22" s="158"/>
      <c r="D22" s="158"/>
      <c r="E22" s="94"/>
      <c r="F22" s="651"/>
    </row>
    <row r="23" spans="1:6" s="169" customFormat="1" ht="12" customHeight="1">
      <c r="A23" s="12" t="s">
        <v>74</v>
      </c>
      <c r="B23" s="171" t="s">
        <v>164</v>
      </c>
      <c r="C23" s="158">
        <v>17284914</v>
      </c>
      <c r="D23" s="158">
        <v>20516737</v>
      </c>
      <c r="E23" s="94">
        <v>21041960</v>
      </c>
      <c r="F23" s="651"/>
    </row>
    <row r="24" spans="1:6" s="169" customFormat="1" ht="12" customHeight="1" thickBot="1">
      <c r="A24" s="14" t="s">
        <v>81</v>
      </c>
      <c r="B24" s="102" t="s">
        <v>165</v>
      </c>
      <c r="C24" s="160"/>
      <c r="D24" s="160"/>
      <c r="E24" s="96"/>
      <c r="F24" s="651"/>
    </row>
    <row r="25" spans="1:6" s="169" customFormat="1" ht="12" customHeight="1" thickBot="1">
      <c r="A25" s="18" t="s">
        <v>8</v>
      </c>
      <c r="B25" s="19" t="s">
        <v>166</v>
      </c>
      <c r="C25" s="157">
        <f>+C26+C27+C28+C29+C30</f>
        <v>145309282</v>
      </c>
      <c r="D25" s="157">
        <f>+D26+D27+D28+D29+D30</f>
        <v>108981962</v>
      </c>
      <c r="E25" s="93">
        <f>+E26+E27+E28+E29+E30</f>
        <v>112960973</v>
      </c>
      <c r="F25" s="650"/>
    </row>
    <row r="26" spans="1:6" s="169" customFormat="1" ht="12" customHeight="1">
      <c r="A26" s="13" t="s">
        <v>53</v>
      </c>
      <c r="B26" s="170" t="s">
        <v>167</v>
      </c>
      <c r="C26" s="159">
        <v>145309282</v>
      </c>
      <c r="D26" s="159">
        <v>108981962</v>
      </c>
      <c r="E26" s="95">
        <v>112960973</v>
      </c>
      <c r="F26" s="651"/>
    </row>
    <row r="27" spans="1:6" s="169" customFormat="1" ht="12" customHeight="1">
      <c r="A27" s="12" t="s">
        <v>54</v>
      </c>
      <c r="B27" s="171" t="s">
        <v>168</v>
      </c>
      <c r="C27" s="158"/>
      <c r="D27" s="158"/>
      <c r="E27" s="94"/>
      <c r="F27" s="651"/>
    </row>
    <row r="28" spans="1:6" s="169" customFormat="1" ht="12" customHeight="1">
      <c r="A28" s="12" t="s">
        <v>55</v>
      </c>
      <c r="B28" s="171" t="s">
        <v>323</v>
      </c>
      <c r="C28" s="158"/>
      <c r="D28" s="158"/>
      <c r="E28" s="94"/>
      <c r="F28" s="651"/>
    </row>
    <row r="29" spans="1:6" s="169" customFormat="1" ht="12" customHeight="1">
      <c r="A29" s="12" t="s">
        <v>56</v>
      </c>
      <c r="B29" s="171" t="s">
        <v>324</v>
      </c>
      <c r="C29" s="158"/>
      <c r="D29" s="158"/>
      <c r="E29" s="94"/>
      <c r="F29" s="651"/>
    </row>
    <row r="30" spans="1:6" s="169" customFormat="1" ht="12" customHeight="1">
      <c r="A30" s="12" t="s">
        <v>109</v>
      </c>
      <c r="B30" s="171" t="s">
        <v>169</v>
      </c>
      <c r="C30" s="158"/>
      <c r="D30" s="158"/>
      <c r="E30" s="94"/>
      <c r="F30" s="651"/>
    </row>
    <row r="31" spans="1:6" s="169" customFormat="1" ht="12" customHeight="1" thickBot="1">
      <c r="A31" s="14" t="s">
        <v>110</v>
      </c>
      <c r="B31" s="172" t="s">
        <v>170</v>
      </c>
      <c r="C31" s="160"/>
      <c r="D31" s="160"/>
      <c r="E31" s="96"/>
      <c r="F31" s="651"/>
    </row>
    <row r="32" spans="1:6" s="169" customFormat="1" ht="12" customHeight="1" thickBot="1">
      <c r="A32" s="18" t="s">
        <v>111</v>
      </c>
      <c r="B32" s="19" t="s">
        <v>480</v>
      </c>
      <c r="C32" s="163">
        <f>SUM(C33:C39)</f>
        <v>197329000</v>
      </c>
      <c r="D32" s="163">
        <f>SUM(D33:D39)</f>
        <v>222693906</v>
      </c>
      <c r="E32" s="199">
        <f>SUM(E33:E39)</f>
        <v>221476906</v>
      </c>
      <c r="F32" s="652"/>
    </row>
    <row r="33" spans="1:6" s="169" customFormat="1" ht="12" customHeight="1">
      <c r="A33" s="13" t="s">
        <v>171</v>
      </c>
      <c r="B33" s="170" t="s">
        <v>481</v>
      </c>
      <c r="C33" s="159">
        <v>138679000</v>
      </c>
      <c r="D33" s="159">
        <v>145140467</v>
      </c>
      <c r="E33" s="95">
        <v>145140467</v>
      </c>
      <c r="F33" s="651"/>
    </row>
    <row r="34" spans="1:6" s="169" customFormat="1" ht="12" customHeight="1">
      <c r="A34" s="12" t="s">
        <v>172</v>
      </c>
      <c r="B34" s="171" t="s">
        <v>482</v>
      </c>
      <c r="C34" s="158">
        <v>19000000</v>
      </c>
      <c r="D34" s="158">
        <v>19000000</v>
      </c>
      <c r="E34" s="94">
        <v>17692000</v>
      </c>
      <c r="F34" s="651"/>
    </row>
    <row r="35" spans="1:6" s="169" customFormat="1" ht="12" customHeight="1">
      <c r="A35" s="12" t="s">
        <v>173</v>
      </c>
      <c r="B35" s="171" t="s">
        <v>483</v>
      </c>
      <c r="C35" s="158">
        <v>35000000</v>
      </c>
      <c r="D35" s="158">
        <v>51045335</v>
      </c>
      <c r="E35" s="94">
        <v>51045335</v>
      </c>
      <c r="F35" s="651"/>
    </row>
    <row r="36" spans="1:6" s="169" customFormat="1" ht="12" customHeight="1">
      <c r="A36" s="12" t="s">
        <v>174</v>
      </c>
      <c r="B36" s="171" t="s">
        <v>484</v>
      </c>
      <c r="C36" s="158"/>
      <c r="D36" s="158"/>
      <c r="E36" s="94"/>
      <c r="F36" s="651"/>
    </row>
    <row r="37" spans="1:6" s="169" customFormat="1" ht="12" customHeight="1">
      <c r="A37" s="12" t="s">
        <v>485</v>
      </c>
      <c r="B37" s="171" t="s">
        <v>175</v>
      </c>
      <c r="C37" s="158">
        <v>4000000</v>
      </c>
      <c r="D37" s="158">
        <v>5897111</v>
      </c>
      <c r="E37" s="94">
        <v>5897111</v>
      </c>
      <c r="F37" s="651"/>
    </row>
    <row r="38" spans="1:6" s="169" customFormat="1" ht="12" customHeight="1">
      <c r="A38" s="12" t="s">
        <v>486</v>
      </c>
      <c r="B38" s="171" t="s">
        <v>176</v>
      </c>
      <c r="C38" s="158"/>
      <c r="D38" s="158"/>
      <c r="E38" s="94"/>
      <c r="F38" s="651"/>
    </row>
    <row r="39" spans="1:6" s="169" customFormat="1" ht="12" customHeight="1" thickBot="1">
      <c r="A39" s="14" t="s">
        <v>487</v>
      </c>
      <c r="B39" s="317" t="s">
        <v>177</v>
      </c>
      <c r="C39" s="160">
        <v>650000</v>
      </c>
      <c r="D39" s="160">
        <v>1610993</v>
      </c>
      <c r="E39" s="96">
        <v>1701993</v>
      </c>
      <c r="F39" s="651"/>
    </row>
    <row r="40" spans="1:6" s="169" customFormat="1" ht="12" customHeight="1" thickBot="1">
      <c r="A40" s="18" t="s">
        <v>10</v>
      </c>
      <c r="B40" s="19" t="s">
        <v>331</v>
      </c>
      <c r="C40" s="157">
        <f>SUM(C41:C51)</f>
        <v>54566909</v>
      </c>
      <c r="D40" s="157">
        <f>SUM(D41:D51)</f>
        <v>59609666</v>
      </c>
      <c r="E40" s="93">
        <f>SUM(E41:E51)</f>
        <v>50774575</v>
      </c>
      <c r="F40" s="650"/>
    </row>
    <row r="41" spans="1:6" s="169" customFormat="1" ht="12" customHeight="1">
      <c r="A41" s="13" t="s">
        <v>57</v>
      </c>
      <c r="B41" s="170" t="s">
        <v>180</v>
      </c>
      <c r="C41" s="159"/>
      <c r="D41" s="159"/>
      <c r="E41" s="95">
        <v>99000</v>
      </c>
      <c r="F41" s="651"/>
    </row>
    <row r="42" spans="1:6" s="169" customFormat="1" ht="12" customHeight="1">
      <c r="A42" s="12" t="s">
        <v>58</v>
      </c>
      <c r="B42" s="171" t="s">
        <v>181</v>
      </c>
      <c r="C42" s="158">
        <v>23672911</v>
      </c>
      <c r="D42" s="158">
        <v>23672911</v>
      </c>
      <c r="E42" s="94">
        <v>20290850</v>
      </c>
      <c r="F42" s="651"/>
    </row>
    <row r="43" spans="1:6" s="169" customFormat="1" ht="12" customHeight="1">
      <c r="A43" s="12" t="s">
        <v>59</v>
      </c>
      <c r="B43" s="171" t="s">
        <v>182</v>
      </c>
      <c r="C43" s="158">
        <v>6302684</v>
      </c>
      <c r="D43" s="158">
        <v>6302684</v>
      </c>
      <c r="E43" s="94">
        <v>6439765</v>
      </c>
      <c r="F43" s="651"/>
    </row>
    <row r="44" spans="1:6" s="169" customFormat="1" ht="12" customHeight="1">
      <c r="A44" s="12" t="s">
        <v>113</v>
      </c>
      <c r="B44" s="171" t="s">
        <v>183</v>
      </c>
      <c r="C44" s="158">
        <v>1656921</v>
      </c>
      <c r="D44" s="158">
        <v>3726743</v>
      </c>
      <c r="E44" s="94">
        <v>3726743</v>
      </c>
      <c r="F44" s="651"/>
    </row>
    <row r="45" spans="1:6" s="169" customFormat="1" ht="12" customHeight="1">
      <c r="A45" s="12" t="s">
        <v>114</v>
      </c>
      <c r="B45" s="171" t="s">
        <v>184</v>
      </c>
      <c r="C45" s="158">
        <v>10945800</v>
      </c>
      <c r="D45" s="158">
        <v>10945800</v>
      </c>
      <c r="E45" s="94">
        <v>6265586</v>
      </c>
      <c r="F45" s="651"/>
    </row>
    <row r="46" spans="1:6" s="169" customFormat="1" ht="12" customHeight="1">
      <c r="A46" s="12" t="s">
        <v>115</v>
      </c>
      <c r="B46" s="171" t="s">
        <v>185</v>
      </c>
      <c r="C46" s="158">
        <v>11938593</v>
      </c>
      <c r="D46" s="158">
        <v>12592187</v>
      </c>
      <c r="E46" s="94">
        <v>11315088</v>
      </c>
      <c r="F46" s="651"/>
    </row>
    <row r="47" spans="1:6" s="169" customFormat="1" ht="12" customHeight="1">
      <c r="A47" s="12" t="s">
        <v>116</v>
      </c>
      <c r="B47" s="171" t="s">
        <v>186</v>
      </c>
      <c r="C47" s="158"/>
      <c r="D47" s="158"/>
      <c r="E47" s="94"/>
      <c r="F47" s="651"/>
    </row>
    <row r="48" spans="1:6" s="169" customFormat="1" ht="12" customHeight="1">
      <c r="A48" s="12" t="s">
        <v>117</v>
      </c>
      <c r="B48" s="171" t="s">
        <v>488</v>
      </c>
      <c r="C48" s="158">
        <v>50000</v>
      </c>
      <c r="D48" s="158">
        <v>50000</v>
      </c>
      <c r="E48" s="94">
        <v>184</v>
      </c>
      <c r="F48" s="651"/>
    </row>
    <row r="49" spans="1:6" s="169" customFormat="1" ht="12" customHeight="1">
      <c r="A49" s="12" t="s">
        <v>178</v>
      </c>
      <c r="B49" s="171" t="s">
        <v>188</v>
      </c>
      <c r="C49" s="161"/>
      <c r="D49" s="161">
        <v>4669</v>
      </c>
      <c r="E49" s="97">
        <v>5399</v>
      </c>
      <c r="F49" s="653"/>
    </row>
    <row r="50" spans="1:6" s="169" customFormat="1" ht="12" customHeight="1">
      <c r="A50" s="14" t="s">
        <v>179</v>
      </c>
      <c r="B50" s="172" t="s">
        <v>333</v>
      </c>
      <c r="C50" s="162"/>
      <c r="D50" s="162"/>
      <c r="E50" s="98"/>
      <c r="F50" s="653"/>
    </row>
    <row r="51" spans="1:6" s="169" customFormat="1" ht="12" customHeight="1" thickBot="1">
      <c r="A51" s="14" t="s">
        <v>332</v>
      </c>
      <c r="B51" s="102" t="s">
        <v>189</v>
      </c>
      <c r="C51" s="162"/>
      <c r="D51" s="162">
        <v>2314672</v>
      </c>
      <c r="E51" s="98">
        <v>2631960</v>
      </c>
      <c r="F51" s="653"/>
    </row>
    <row r="52" spans="1:6" s="169" customFormat="1" ht="12" customHeight="1" thickBot="1">
      <c r="A52" s="18" t="s">
        <v>11</v>
      </c>
      <c r="B52" s="19" t="s">
        <v>190</v>
      </c>
      <c r="C52" s="157">
        <f>SUM(C53:C57)</f>
        <v>11907010</v>
      </c>
      <c r="D52" s="157">
        <f>SUM(D53:D57)</f>
        <v>12314867</v>
      </c>
      <c r="E52" s="93">
        <f>SUM(E53:E57)</f>
        <v>12348725</v>
      </c>
      <c r="F52" s="650"/>
    </row>
    <row r="53" spans="1:6" s="169" customFormat="1" ht="12" customHeight="1">
      <c r="A53" s="13" t="s">
        <v>60</v>
      </c>
      <c r="B53" s="170" t="s">
        <v>194</v>
      </c>
      <c r="C53" s="210"/>
      <c r="D53" s="210"/>
      <c r="E53" s="99"/>
      <c r="F53" s="653"/>
    </row>
    <row r="54" spans="1:6" s="169" customFormat="1" ht="12" customHeight="1">
      <c r="A54" s="12" t="s">
        <v>61</v>
      </c>
      <c r="B54" s="171" t="s">
        <v>195</v>
      </c>
      <c r="C54" s="161">
        <v>11907010</v>
      </c>
      <c r="D54" s="161">
        <v>12300694</v>
      </c>
      <c r="E54" s="97">
        <v>12300694</v>
      </c>
      <c r="F54" s="653"/>
    </row>
    <row r="55" spans="1:6" s="169" customFormat="1" ht="12" customHeight="1">
      <c r="A55" s="12" t="s">
        <v>191</v>
      </c>
      <c r="B55" s="171" t="s">
        <v>196</v>
      </c>
      <c r="C55" s="161"/>
      <c r="D55" s="161">
        <v>14173</v>
      </c>
      <c r="E55" s="97">
        <v>48031</v>
      </c>
      <c r="F55" s="653"/>
    </row>
    <row r="56" spans="1:6" s="169" customFormat="1" ht="12" customHeight="1">
      <c r="A56" s="12" t="s">
        <v>192</v>
      </c>
      <c r="B56" s="171" t="s">
        <v>197</v>
      </c>
      <c r="C56" s="161"/>
      <c r="D56" s="161"/>
      <c r="E56" s="97"/>
      <c r="F56" s="653"/>
    </row>
    <row r="57" spans="1:6" s="169" customFormat="1" ht="12" customHeight="1" thickBot="1">
      <c r="A57" s="14" t="s">
        <v>193</v>
      </c>
      <c r="B57" s="102" t="s">
        <v>198</v>
      </c>
      <c r="C57" s="162"/>
      <c r="D57" s="162"/>
      <c r="E57" s="98"/>
      <c r="F57" s="653"/>
    </row>
    <row r="58" spans="1:6" s="169" customFormat="1" ht="12" customHeight="1" thickBot="1">
      <c r="A58" s="18" t="s">
        <v>118</v>
      </c>
      <c r="B58" s="19" t="s">
        <v>199</v>
      </c>
      <c r="C58" s="157">
        <f>SUM(C59:C61)</f>
        <v>982365</v>
      </c>
      <c r="D58" s="157">
        <f>SUM(D59:D61)</f>
        <v>243737</v>
      </c>
      <c r="E58" s="93">
        <f>SUM(E59:E61)</f>
        <v>243737</v>
      </c>
      <c r="F58" s="650"/>
    </row>
    <row r="59" spans="1:6" s="169" customFormat="1" ht="12" customHeight="1">
      <c r="A59" s="13" t="s">
        <v>62</v>
      </c>
      <c r="B59" s="170" t="s">
        <v>200</v>
      </c>
      <c r="C59" s="159"/>
      <c r="D59" s="159"/>
      <c r="E59" s="95"/>
      <c r="F59" s="651"/>
    </row>
    <row r="60" spans="1:6" s="169" customFormat="1" ht="12" customHeight="1">
      <c r="A60" s="12" t="s">
        <v>63</v>
      </c>
      <c r="B60" s="171" t="s">
        <v>325</v>
      </c>
      <c r="C60" s="158">
        <v>982365</v>
      </c>
      <c r="D60" s="158">
        <v>42000</v>
      </c>
      <c r="E60" s="94">
        <v>42000</v>
      </c>
      <c r="F60" s="651"/>
    </row>
    <row r="61" spans="1:6" s="169" customFormat="1" ht="12" customHeight="1">
      <c r="A61" s="12" t="s">
        <v>203</v>
      </c>
      <c r="B61" s="171" t="s">
        <v>201</v>
      </c>
      <c r="C61" s="158"/>
      <c r="D61" s="158">
        <v>201737</v>
      </c>
      <c r="E61" s="94">
        <v>201737</v>
      </c>
      <c r="F61" s="651"/>
    </row>
    <row r="62" spans="1:6" s="169" customFormat="1" ht="12" customHeight="1" thickBot="1">
      <c r="A62" s="14" t="s">
        <v>204</v>
      </c>
      <c r="B62" s="102" t="s">
        <v>202</v>
      </c>
      <c r="C62" s="160"/>
      <c r="D62" s="160"/>
      <c r="E62" s="96"/>
      <c r="F62" s="651"/>
    </row>
    <row r="63" spans="1:6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3906518</v>
      </c>
      <c r="E63" s="93">
        <f>SUM(E64:E66)</f>
        <v>3622195</v>
      </c>
      <c r="F63" s="650"/>
    </row>
    <row r="64" spans="1:6" s="169" customFormat="1" ht="12" customHeight="1">
      <c r="A64" s="13" t="s">
        <v>119</v>
      </c>
      <c r="B64" s="170" t="s">
        <v>207</v>
      </c>
      <c r="C64" s="161"/>
      <c r="D64" s="161"/>
      <c r="E64" s="97"/>
      <c r="F64" s="653"/>
    </row>
    <row r="65" spans="1:6" s="169" customFormat="1" ht="12" customHeight="1">
      <c r="A65" s="12" t="s">
        <v>120</v>
      </c>
      <c r="B65" s="171" t="s">
        <v>326</v>
      </c>
      <c r="C65" s="161"/>
      <c r="D65" s="161">
        <v>2056518</v>
      </c>
      <c r="E65" s="97">
        <v>2022195</v>
      </c>
      <c r="F65" s="653"/>
    </row>
    <row r="66" spans="1:6" s="169" customFormat="1" ht="12" customHeight="1">
      <c r="A66" s="12" t="s">
        <v>139</v>
      </c>
      <c r="B66" s="171" t="s">
        <v>208</v>
      </c>
      <c r="C66" s="161"/>
      <c r="D66" s="161">
        <v>1850000</v>
      </c>
      <c r="E66" s="97">
        <v>1600000</v>
      </c>
      <c r="F66" s="653"/>
    </row>
    <row r="67" spans="1:6" s="169" customFormat="1" ht="12" customHeight="1" thickBot="1">
      <c r="A67" s="14" t="s">
        <v>206</v>
      </c>
      <c r="B67" s="102" t="s">
        <v>209</v>
      </c>
      <c r="C67" s="161"/>
      <c r="D67" s="161"/>
      <c r="E67" s="97"/>
      <c r="F67" s="653"/>
    </row>
    <row r="68" spans="1:6" s="169" customFormat="1" ht="12" customHeight="1" thickBot="1">
      <c r="A68" s="221" t="s">
        <v>373</v>
      </c>
      <c r="B68" s="19" t="s">
        <v>210</v>
      </c>
      <c r="C68" s="163">
        <f>+C11+C18+C25+C32+C40+C52+C58+C63</f>
        <v>542222486</v>
      </c>
      <c r="D68" s="163">
        <f>+D11+D18+D25+D32+D40+D52+D58+D63</f>
        <v>551377023</v>
      </c>
      <c r="E68" s="199">
        <f>+E11+E18+E25+E32+E40+E52+E58+E63</f>
        <v>545578701</v>
      </c>
      <c r="F68" s="652"/>
    </row>
    <row r="69" spans="1:6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  <c r="F69" s="650"/>
    </row>
    <row r="70" spans="1:6" s="169" customFormat="1" ht="12" customHeight="1">
      <c r="A70" s="13" t="s">
        <v>240</v>
      </c>
      <c r="B70" s="170" t="s">
        <v>213</v>
      </c>
      <c r="C70" s="161"/>
      <c r="D70" s="161"/>
      <c r="E70" s="97"/>
      <c r="F70" s="653"/>
    </row>
    <row r="71" spans="1:6" s="169" customFormat="1" ht="12" customHeight="1">
      <c r="A71" s="12" t="s">
        <v>249</v>
      </c>
      <c r="B71" s="171" t="s">
        <v>214</v>
      </c>
      <c r="C71" s="161"/>
      <c r="D71" s="161"/>
      <c r="E71" s="97"/>
      <c r="F71" s="653"/>
    </row>
    <row r="72" spans="1:6" s="169" customFormat="1" ht="12" customHeight="1" thickBot="1">
      <c r="A72" s="14" t="s">
        <v>250</v>
      </c>
      <c r="B72" s="217" t="s">
        <v>358</v>
      </c>
      <c r="C72" s="161"/>
      <c r="D72" s="161"/>
      <c r="E72" s="97"/>
      <c r="F72" s="653"/>
    </row>
    <row r="73" spans="1:6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  <c r="F73" s="650"/>
    </row>
    <row r="74" spans="1:6" s="169" customFormat="1" ht="12" customHeight="1">
      <c r="A74" s="13" t="s">
        <v>97</v>
      </c>
      <c r="B74" s="354" t="s">
        <v>218</v>
      </c>
      <c r="C74" s="161"/>
      <c r="D74" s="161"/>
      <c r="E74" s="97"/>
      <c r="F74" s="653"/>
    </row>
    <row r="75" spans="1:6" s="169" customFormat="1" ht="12" customHeight="1">
      <c r="A75" s="12" t="s">
        <v>98</v>
      </c>
      <c r="B75" s="354" t="s">
        <v>495</v>
      </c>
      <c r="C75" s="161"/>
      <c r="D75" s="161"/>
      <c r="E75" s="97"/>
      <c r="F75" s="653"/>
    </row>
    <row r="76" spans="1:6" s="169" customFormat="1" ht="12" customHeight="1">
      <c r="A76" s="12" t="s">
        <v>241</v>
      </c>
      <c r="B76" s="354" t="s">
        <v>219</v>
      </c>
      <c r="C76" s="161"/>
      <c r="D76" s="161"/>
      <c r="E76" s="97"/>
      <c r="F76" s="653"/>
    </row>
    <row r="77" spans="1:6" s="169" customFormat="1" ht="12" customHeight="1" thickBot="1">
      <c r="A77" s="14" t="s">
        <v>242</v>
      </c>
      <c r="B77" s="355" t="s">
        <v>496</v>
      </c>
      <c r="C77" s="161"/>
      <c r="D77" s="161"/>
      <c r="E77" s="97"/>
      <c r="F77" s="653"/>
    </row>
    <row r="78" spans="1:6" s="169" customFormat="1" ht="12" customHeight="1" thickBot="1">
      <c r="A78" s="211" t="s">
        <v>220</v>
      </c>
      <c r="B78" s="100" t="s">
        <v>221</v>
      </c>
      <c r="C78" s="157">
        <f>SUM(C79:C80)</f>
        <v>126176907</v>
      </c>
      <c r="D78" s="157">
        <f>SUM(D79:D80)</f>
        <v>161905313</v>
      </c>
      <c r="E78" s="93">
        <f>SUM(E79:E80)</f>
        <v>161905313</v>
      </c>
      <c r="F78" s="650"/>
    </row>
    <row r="79" spans="1:6" s="169" customFormat="1" ht="12" customHeight="1">
      <c r="A79" s="13" t="s">
        <v>243</v>
      </c>
      <c r="B79" s="170" t="s">
        <v>222</v>
      </c>
      <c r="C79" s="161">
        <v>126176907</v>
      </c>
      <c r="D79" s="161">
        <v>161905313</v>
      </c>
      <c r="E79" s="97">
        <v>161905313</v>
      </c>
      <c r="F79" s="653"/>
    </row>
    <row r="80" spans="1:6" s="169" customFormat="1" ht="12" customHeight="1" thickBot="1">
      <c r="A80" s="14" t="s">
        <v>244</v>
      </c>
      <c r="B80" s="102" t="s">
        <v>223</v>
      </c>
      <c r="C80" s="161"/>
      <c r="D80" s="161"/>
      <c r="E80" s="97"/>
      <c r="F80" s="653"/>
    </row>
    <row r="81" spans="1:6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13176869</v>
      </c>
      <c r="E81" s="93">
        <f>SUM(E82:E84)</f>
        <v>13176869</v>
      </c>
      <c r="F81" s="650"/>
    </row>
    <row r="82" spans="1:6" s="169" customFormat="1" ht="12" customHeight="1">
      <c r="A82" s="13" t="s">
        <v>245</v>
      </c>
      <c r="B82" s="170" t="s">
        <v>226</v>
      </c>
      <c r="C82" s="161"/>
      <c r="D82" s="161">
        <v>13176869</v>
      </c>
      <c r="E82" s="97">
        <v>13176869</v>
      </c>
      <c r="F82" s="653"/>
    </row>
    <row r="83" spans="1:6" s="169" customFormat="1" ht="12" customHeight="1">
      <c r="A83" s="12" t="s">
        <v>246</v>
      </c>
      <c r="B83" s="171" t="s">
        <v>227</v>
      </c>
      <c r="C83" s="161"/>
      <c r="D83" s="161"/>
      <c r="E83" s="97"/>
      <c r="F83" s="653"/>
    </row>
    <row r="84" spans="1:6" s="169" customFormat="1" ht="12" customHeight="1" thickBot="1">
      <c r="A84" s="14" t="s">
        <v>247</v>
      </c>
      <c r="B84" s="102" t="s">
        <v>497</v>
      </c>
      <c r="C84" s="161"/>
      <c r="D84" s="161"/>
      <c r="E84" s="97"/>
      <c r="F84" s="653"/>
    </row>
    <row r="85" spans="1:6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  <c r="F85" s="650"/>
    </row>
    <row r="86" spans="1:6" s="169" customFormat="1" ht="12" customHeight="1">
      <c r="A86" s="174" t="s">
        <v>229</v>
      </c>
      <c r="B86" s="170" t="s">
        <v>230</v>
      </c>
      <c r="C86" s="161"/>
      <c r="D86" s="161"/>
      <c r="E86" s="97"/>
      <c r="F86" s="653"/>
    </row>
    <row r="87" spans="1:6" s="169" customFormat="1" ht="12" customHeight="1">
      <c r="A87" s="175" t="s">
        <v>231</v>
      </c>
      <c r="B87" s="171" t="s">
        <v>232</v>
      </c>
      <c r="C87" s="161"/>
      <c r="D87" s="161"/>
      <c r="E87" s="97"/>
      <c r="F87" s="653"/>
    </row>
    <row r="88" spans="1:6" s="169" customFormat="1" ht="12" customHeight="1">
      <c r="A88" s="175" t="s">
        <v>233</v>
      </c>
      <c r="B88" s="171" t="s">
        <v>234</v>
      </c>
      <c r="C88" s="161"/>
      <c r="D88" s="161"/>
      <c r="E88" s="97"/>
      <c r="F88" s="653"/>
    </row>
    <row r="89" spans="1:6" s="169" customFormat="1" ht="12" customHeight="1" thickBot="1">
      <c r="A89" s="176" t="s">
        <v>235</v>
      </c>
      <c r="B89" s="102" t="s">
        <v>236</v>
      </c>
      <c r="C89" s="161"/>
      <c r="D89" s="161"/>
      <c r="E89" s="97"/>
      <c r="F89" s="653"/>
    </row>
    <row r="90" spans="1:6" s="169" customFormat="1" ht="12" customHeight="1" thickBot="1">
      <c r="A90" s="211" t="s">
        <v>237</v>
      </c>
      <c r="B90" s="100" t="s">
        <v>372</v>
      </c>
      <c r="C90" s="213"/>
      <c r="D90" s="213"/>
      <c r="E90" s="214"/>
      <c r="F90" s="658"/>
    </row>
    <row r="91" spans="1:6" s="169" customFormat="1" ht="13.5" customHeight="1" thickBot="1">
      <c r="A91" s="211" t="s">
        <v>239</v>
      </c>
      <c r="B91" s="100" t="s">
        <v>238</v>
      </c>
      <c r="C91" s="213"/>
      <c r="D91" s="213"/>
      <c r="E91" s="214"/>
      <c r="F91" s="658"/>
    </row>
    <row r="92" spans="1:6" s="169" customFormat="1" ht="15.75" customHeight="1" thickBot="1">
      <c r="A92" s="211" t="s">
        <v>251</v>
      </c>
      <c r="B92" s="177" t="s">
        <v>375</v>
      </c>
      <c r="C92" s="163">
        <f>+C69+C73+C78+C81+C85+C91+C90</f>
        <v>126176907</v>
      </c>
      <c r="D92" s="163">
        <f>+D69+D73+D78+D81+D85+D91+D90</f>
        <v>175082182</v>
      </c>
      <c r="E92" s="199">
        <f>+E69+E73+E78+E81+E85+E91+E90</f>
        <v>175082182</v>
      </c>
      <c r="F92" s="652"/>
    </row>
    <row r="93" spans="1:6" s="169" customFormat="1" ht="25.5" customHeight="1" thickBot="1">
      <c r="A93" s="212" t="s">
        <v>374</v>
      </c>
      <c r="B93" s="178" t="s">
        <v>376</v>
      </c>
      <c r="C93" s="163">
        <f>+C68+C92</f>
        <v>668399393</v>
      </c>
      <c r="D93" s="163">
        <f>+D68+D92</f>
        <v>726459205</v>
      </c>
      <c r="E93" s="199">
        <f>+E68+E92</f>
        <v>720660883</v>
      </c>
      <c r="F93" s="652"/>
    </row>
    <row r="94" spans="1:3" s="169" customFormat="1" ht="15" customHeight="1">
      <c r="A94" s="3"/>
      <c r="B94" s="4"/>
      <c r="C94" s="104"/>
    </row>
    <row r="95" spans="1:6" ht="16.5" customHeight="1">
      <c r="A95" s="754" t="s">
        <v>34</v>
      </c>
      <c r="B95" s="754"/>
      <c r="C95" s="754"/>
      <c r="D95" s="754"/>
      <c r="E95" s="754"/>
      <c r="F95" s="643"/>
    </row>
    <row r="96" spans="1:6" s="179" customFormat="1" ht="16.5" customHeight="1" thickBot="1">
      <c r="A96" s="755" t="s">
        <v>100</v>
      </c>
      <c r="B96" s="755"/>
      <c r="C96" s="61"/>
      <c r="E96" s="61" t="str">
        <f>E7</f>
        <v> Forintban!</v>
      </c>
      <c r="F96" s="654"/>
    </row>
    <row r="97" spans="1:6" ht="1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  <c r="F97" s="647"/>
    </row>
    <row r="98" spans="1:6" ht="23.2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  <c r="F98" s="648"/>
    </row>
    <row r="99" spans="1:6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  <c r="F99" s="649"/>
    </row>
    <row r="100" spans="1:6" ht="12" customHeight="1" thickBot="1">
      <c r="A100" s="20" t="s">
        <v>6</v>
      </c>
      <c r="B100" s="24" t="s">
        <v>334</v>
      </c>
      <c r="C100" s="156">
        <f>C101+C102+C103+C104+C105+C118</f>
        <v>439791667</v>
      </c>
      <c r="D100" s="156">
        <f>D101+D102+D103+D104+D105+D118</f>
        <v>508969333</v>
      </c>
      <c r="E100" s="224">
        <f>E101+E102+E103+E104+E105+E118</f>
        <v>393275584</v>
      </c>
      <c r="F100" s="650"/>
    </row>
    <row r="101" spans="1:6" ht="12" customHeight="1">
      <c r="A101" s="15" t="s">
        <v>64</v>
      </c>
      <c r="B101" s="8" t="s">
        <v>35</v>
      </c>
      <c r="C101" s="231">
        <v>137343031</v>
      </c>
      <c r="D101" s="231">
        <v>144517214</v>
      </c>
      <c r="E101" s="225">
        <v>132848699</v>
      </c>
      <c r="F101" s="651"/>
    </row>
    <row r="102" spans="1:6" ht="12" customHeight="1">
      <c r="A102" s="12" t="s">
        <v>65</v>
      </c>
      <c r="B102" s="6" t="s">
        <v>121</v>
      </c>
      <c r="C102" s="158">
        <v>30666604</v>
      </c>
      <c r="D102" s="158">
        <v>31764481</v>
      </c>
      <c r="E102" s="94">
        <v>25630545</v>
      </c>
      <c r="F102" s="651"/>
    </row>
    <row r="103" spans="1:6" ht="12" customHeight="1">
      <c r="A103" s="12" t="s">
        <v>66</v>
      </c>
      <c r="B103" s="6" t="s">
        <v>92</v>
      </c>
      <c r="C103" s="160">
        <v>174711855</v>
      </c>
      <c r="D103" s="160">
        <v>185689665</v>
      </c>
      <c r="E103" s="96">
        <v>153357612</v>
      </c>
      <c r="F103" s="651"/>
    </row>
    <row r="104" spans="1:6" ht="12" customHeight="1">
      <c r="A104" s="12" t="s">
        <v>67</v>
      </c>
      <c r="B104" s="9" t="s">
        <v>122</v>
      </c>
      <c r="C104" s="160">
        <v>5300000</v>
      </c>
      <c r="D104" s="160">
        <v>5300000</v>
      </c>
      <c r="E104" s="96">
        <v>3851370</v>
      </c>
      <c r="F104" s="651"/>
    </row>
    <row r="105" spans="1:6" ht="12" customHeight="1">
      <c r="A105" s="12" t="s">
        <v>76</v>
      </c>
      <c r="B105" s="17" t="s">
        <v>123</v>
      </c>
      <c r="C105" s="160">
        <v>68346835</v>
      </c>
      <c r="D105" s="160">
        <v>78889498</v>
      </c>
      <c r="E105" s="96">
        <v>77587358</v>
      </c>
      <c r="F105" s="651"/>
    </row>
    <row r="106" spans="1:6" ht="12" customHeight="1">
      <c r="A106" s="12" t="s">
        <v>68</v>
      </c>
      <c r="B106" s="6" t="s">
        <v>339</v>
      </c>
      <c r="C106" s="160">
        <v>1239822</v>
      </c>
      <c r="D106" s="160"/>
      <c r="E106" s="96"/>
      <c r="F106" s="651"/>
    </row>
    <row r="107" spans="1:6" ht="12" customHeight="1">
      <c r="A107" s="12" t="s">
        <v>69</v>
      </c>
      <c r="B107" s="65" t="s">
        <v>338</v>
      </c>
      <c r="C107" s="160"/>
      <c r="D107" s="160"/>
      <c r="E107" s="96"/>
      <c r="F107" s="651"/>
    </row>
    <row r="108" spans="1:6" ht="12" customHeight="1">
      <c r="A108" s="12" t="s">
        <v>77</v>
      </c>
      <c r="B108" s="65" t="s">
        <v>337</v>
      </c>
      <c r="C108" s="160"/>
      <c r="D108" s="160">
        <v>1435360</v>
      </c>
      <c r="E108" s="96">
        <v>1435030</v>
      </c>
      <c r="F108" s="651"/>
    </row>
    <row r="109" spans="1:6" ht="12" customHeight="1">
      <c r="A109" s="12" t="s">
        <v>78</v>
      </c>
      <c r="B109" s="63" t="s">
        <v>254</v>
      </c>
      <c r="C109" s="160"/>
      <c r="D109" s="160"/>
      <c r="E109" s="96"/>
      <c r="F109" s="651"/>
    </row>
    <row r="110" spans="1:6" ht="12" customHeight="1">
      <c r="A110" s="12" t="s">
        <v>79</v>
      </c>
      <c r="B110" s="64" t="s">
        <v>255</v>
      </c>
      <c r="C110" s="160"/>
      <c r="D110" s="160"/>
      <c r="E110" s="96"/>
      <c r="F110" s="651"/>
    </row>
    <row r="111" spans="1:6" ht="12" customHeight="1">
      <c r="A111" s="12" t="s">
        <v>80</v>
      </c>
      <c r="B111" s="64" t="s">
        <v>256</v>
      </c>
      <c r="C111" s="160"/>
      <c r="D111" s="160"/>
      <c r="E111" s="96"/>
      <c r="F111" s="651"/>
    </row>
    <row r="112" spans="1:6" ht="12" customHeight="1">
      <c r="A112" s="12" t="s">
        <v>82</v>
      </c>
      <c r="B112" s="63" t="s">
        <v>257</v>
      </c>
      <c r="C112" s="160">
        <v>48225000</v>
      </c>
      <c r="D112" s="160">
        <v>49033858</v>
      </c>
      <c r="E112" s="96">
        <v>48853858</v>
      </c>
      <c r="F112" s="651"/>
    </row>
    <row r="113" spans="1:6" ht="12" customHeight="1">
      <c r="A113" s="12" t="s">
        <v>124</v>
      </c>
      <c r="B113" s="63" t="s">
        <v>258</v>
      </c>
      <c r="C113" s="160"/>
      <c r="D113" s="160"/>
      <c r="E113" s="96"/>
      <c r="F113" s="651"/>
    </row>
    <row r="114" spans="1:6" ht="12" customHeight="1">
      <c r="A114" s="12" t="s">
        <v>252</v>
      </c>
      <c r="B114" s="64" t="s">
        <v>259</v>
      </c>
      <c r="C114" s="160"/>
      <c r="D114" s="160"/>
      <c r="E114" s="96">
        <v>42000</v>
      </c>
      <c r="F114" s="651"/>
    </row>
    <row r="115" spans="1:6" ht="12" customHeight="1">
      <c r="A115" s="11" t="s">
        <v>253</v>
      </c>
      <c r="B115" s="65" t="s">
        <v>260</v>
      </c>
      <c r="C115" s="160"/>
      <c r="D115" s="160"/>
      <c r="E115" s="96"/>
      <c r="F115" s="651"/>
    </row>
    <row r="116" spans="1:6" ht="12" customHeight="1">
      <c r="A116" s="12" t="s">
        <v>335</v>
      </c>
      <c r="B116" s="65" t="s">
        <v>261</v>
      </c>
      <c r="C116" s="160"/>
      <c r="D116" s="160"/>
      <c r="E116" s="96"/>
      <c r="F116" s="651"/>
    </row>
    <row r="117" spans="1:6" ht="12" customHeight="1">
      <c r="A117" s="14" t="s">
        <v>336</v>
      </c>
      <c r="B117" s="65" t="s">
        <v>262</v>
      </c>
      <c r="C117" s="160">
        <v>18882013</v>
      </c>
      <c r="D117" s="160">
        <v>27952000</v>
      </c>
      <c r="E117" s="96">
        <v>26874000</v>
      </c>
      <c r="F117" s="651"/>
    </row>
    <row r="118" spans="1:6" ht="12" customHeight="1">
      <c r="A118" s="12" t="s">
        <v>340</v>
      </c>
      <c r="B118" s="9" t="s">
        <v>36</v>
      </c>
      <c r="C118" s="158">
        <v>23423342</v>
      </c>
      <c r="D118" s="158">
        <v>62808475</v>
      </c>
      <c r="E118" s="94"/>
      <c r="F118" s="651"/>
    </row>
    <row r="119" spans="1:6" ht="12" customHeight="1">
      <c r="A119" s="12" t="s">
        <v>341</v>
      </c>
      <c r="B119" s="6" t="s">
        <v>343</v>
      </c>
      <c r="C119" s="158">
        <v>16584253</v>
      </c>
      <c r="D119" s="158">
        <v>55565549</v>
      </c>
      <c r="E119" s="94"/>
      <c r="F119" s="651"/>
    </row>
    <row r="120" spans="1:6" ht="12" customHeight="1" thickBot="1">
      <c r="A120" s="16" t="s">
        <v>342</v>
      </c>
      <c r="B120" s="220" t="s">
        <v>344</v>
      </c>
      <c r="C120" s="232">
        <v>6839089</v>
      </c>
      <c r="D120" s="232">
        <v>7242926</v>
      </c>
      <c r="E120" s="226"/>
      <c r="F120" s="651"/>
    </row>
    <row r="121" spans="1:6" ht="12" customHeight="1" thickBot="1">
      <c r="A121" s="218" t="s">
        <v>7</v>
      </c>
      <c r="B121" s="219" t="s">
        <v>263</v>
      </c>
      <c r="C121" s="157">
        <f>+C122+C124+C126</f>
        <v>224495099</v>
      </c>
      <c r="D121" s="157">
        <f>+D122+D124+D126</f>
        <v>204259474</v>
      </c>
      <c r="E121" s="227">
        <f>+E122+E124+E126</f>
        <v>134747628</v>
      </c>
      <c r="F121" s="650"/>
    </row>
    <row r="122" spans="1:6" ht="12" customHeight="1">
      <c r="A122" s="13" t="s">
        <v>70</v>
      </c>
      <c r="B122" s="6" t="s">
        <v>138</v>
      </c>
      <c r="C122" s="159">
        <v>109121844</v>
      </c>
      <c r="D122" s="242">
        <v>106481126</v>
      </c>
      <c r="E122" s="95">
        <v>70954176</v>
      </c>
      <c r="F122" s="651"/>
    </row>
    <row r="123" spans="1:6" ht="12" customHeight="1">
      <c r="A123" s="13" t="s">
        <v>71</v>
      </c>
      <c r="B123" s="10" t="s">
        <v>267</v>
      </c>
      <c r="C123" s="159">
        <v>68814684</v>
      </c>
      <c r="D123" s="242">
        <v>68814684</v>
      </c>
      <c r="E123" s="95">
        <v>45463345</v>
      </c>
      <c r="F123" s="651"/>
    </row>
    <row r="124" spans="1:6" ht="12" customHeight="1">
      <c r="A124" s="13" t="s">
        <v>72</v>
      </c>
      <c r="B124" s="10" t="s">
        <v>125</v>
      </c>
      <c r="C124" s="158">
        <v>110873255</v>
      </c>
      <c r="D124" s="243">
        <v>95683388</v>
      </c>
      <c r="E124" s="94">
        <v>61931792</v>
      </c>
      <c r="F124" s="651"/>
    </row>
    <row r="125" spans="1:6" ht="12" customHeight="1">
      <c r="A125" s="13" t="s">
        <v>73</v>
      </c>
      <c r="B125" s="10" t="s">
        <v>268</v>
      </c>
      <c r="C125" s="158"/>
      <c r="D125" s="243"/>
      <c r="E125" s="94"/>
      <c r="F125" s="651"/>
    </row>
    <row r="126" spans="1:6" ht="12" customHeight="1">
      <c r="A126" s="13" t="s">
        <v>74</v>
      </c>
      <c r="B126" s="102" t="s">
        <v>140</v>
      </c>
      <c r="C126" s="158">
        <v>4500000</v>
      </c>
      <c r="D126" s="243">
        <v>2094960</v>
      </c>
      <c r="E126" s="94">
        <v>1861660</v>
      </c>
      <c r="F126" s="651"/>
    </row>
    <row r="127" spans="1:6" ht="12" customHeight="1">
      <c r="A127" s="13" t="s">
        <v>81</v>
      </c>
      <c r="B127" s="101" t="s">
        <v>327</v>
      </c>
      <c r="C127" s="158"/>
      <c r="D127" s="243"/>
      <c r="E127" s="94"/>
      <c r="F127" s="651"/>
    </row>
    <row r="128" spans="1:6" ht="12" customHeight="1">
      <c r="A128" s="13" t="s">
        <v>83</v>
      </c>
      <c r="B128" s="166" t="s">
        <v>273</v>
      </c>
      <c r="C128" s="158"/>
      <c r="D128" s="243"/>
      <c r="E128" s="94"/>
      <c r="F128" s="651"/>
    </row>
    <row r="129" spans="1:6" ht="15">
      <c r="A129" s="13" t="s">
        <v>126</v>
      </c>
      <c r="B129" s="64" t="s">
        <v>256</v>
      </c>
      <c r="C129" s="158"/>
      <c r="D129" s="243"/>
      <c r="E129" s="94"/>
      <c r="F129" s="651"/>
    </row>
    <row r="130" spans="1:6" ht="12" customHeight="1">
      <c r="A130" s="13" t="s">
        <v>127</v>
      </c>
      <c r="B130" s="64" t="s">
        <v>272</v>
      </c>
      <c r="C130" s="158"/>
      <c r="D130" s="243"/>
      <c r="E130" s="94"/>
      <c r="F130" s="651"/>
    </row>
    <row r="131" spans="1:6" ht="12" customHeight="1">
      <c r="A131" s="13" t="s">
        <v>128</v>
      </c>
      <c r="B131" s="64" t="s">
        <v>271</v>
      </c>
      <c r="C131" s="158"/>
      <c r="D131" s="243"/>
      <c r="E131" s="94"/>
      <c r="F131" s="651"/>
    </row>
    <row r="132" spans="1:6" ht="12" customHeight="1">
      <c r="A132" s="13" t="s">
        <v>264</v>
      </c>
      <c r="B132" s="64" t="s">
        <v>259</v>
      </c>
      <c r="C132" s="158">
        <v>2000000</v>
      </c>
      <c r="D132" s="243">
        <v>1845000</v>
      </c>
      <c r="E132" s="94">
        <v>1611700</v>
      </c>
      <c r="F132" s="651"/>
    </row>
    <row r="133" spans="1:6" ht="12" customHeight="1">
      <c r="A133" s="13" t="s">
        <v>265</v>
      </c>
      <c r="B133" s="64" t="s">
        <v>270</v>
      </c>
      <c r="C133" s="158"/>
      <c r="D133" s="243"/>
      <c r="E133" s="94"/>
      <c r="F133" s="651"/>
    </row>
    <row r="134" spans="1:6" ht="15.75" thickBot="1">
      <c r="A134" s="11" t="s">
        <v>266</v>
      </c>
      <c r="B134" s="64" t="s">
        <v>269</v>
      </c>
      <c r="C134" s="160">
        <v>2500000</v>
      </c>
      <c r="D134" s="244">
        <v>249960</v>
      </c>
      <c r="E134" s="96">
        <v>249960</v>
      </c>
      <c r="F134" s="651"/>
    </row>
    <row r="135" spans="1:6" ht="12" customHeight="1" thickBot="1">
      <c r="A135" s="18" t="s">
        <v>8</v>
      </c>
      <c r="B135" s="57" t="s">
        <v>345</v>
      </c>
      <c r="C135" s="157">
        <f>+C100+C121</f>
        <v>664286766</v>
      </c>
      <c r="D135" s="241">
        <f>+D100+D121</f>
        <v>713228807</v>
      </c>
      <c r="E135" s="93">
        <f>+E100+E121</f>
        <v>528023212</v>
      </c>
      <c r="F135" s="650"/>
    </row>
    <row r="136" spans="1:6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  <c r="F136" s="650"/>
    </row>
    <row r="137" spans="1:6" ht="12" customHeight="1">
      <c r="A137" s="13" t="s">
        <v>171</v>
      </c>
      <c r="B137" s="10" t="s">
        <v>353</v>
      </c>
      <c r="C137" s="158"/>
      <c r="D137" s="243"/>
      <c r="E137" s="94"/>
      <c r="F137" s="651"/>
    </row>
    <row r="138" spans="1:6" ht="12" customHeight="1">
      <c r="A138" s="13" t="s">
        <v>172</v>
      </c>
      <c r="B138" s="10" t="s">
        <v>354</v>
      </c>
      <c r="C138" s="158"/>
      <c r="D138" s="243"/>
      <c r="E138" s="94"/>
      <c r="F138" s="651"/>
    </row>
    <row r="139" spans="1:6" ht="12" customHeight="1" thickBot="1">
      <c r="A139" s="11" t="s">
        <v>173</v>
      </c>
      <c r="B139" s="10" t="s">
        <v>355</v>
      </c>
      <c r="C139" s="158"/>
      <c r="D139" s="243"/>
      <c r="E139" s="94"/>
      <c r="F139" s="651"/>
    </row>
    <row r="140" spans="1:6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  <c r="F140" s="650"/>
    </row>
    <row r="141" spans="1:6" ht="12" customHeight="1">
      <c r="A141" s="13" t="s">
        <v>57</v>
      </c>
      <c r="B141" s="7" t="s">
        <v>356</v>
      </c>
      <c r="C141" s="158"/>
      <c r="D141" s="243"/>
      <c r="E141" s="94"/>
      <c r="F141" s="651"/>
    </row>
    <row r="142" spans="1:6" ht="12" customHeight="1">
      <c r="A142" s="13" t="s">
        <v>58</v>
      </c>
      <c r="B142" s="7" t="s">
        <v>348</v>
      </c>
      <c r="C142" s="158"/>
      <c r="D142" s="243"/>
      <c r="E142" s="94"/>
      <c r="F142" s="651"/>
    </row>
    <row r="143" spans="1:6" ht="12" customHeight="1">
      <c r="A143" s="13" t="s">
        <v>59</v>
      </c>
      <c r="B143" s="7" t="s">
        <v>349</v>
      </c>
      <c r="C143" s="158"/>
      <c r="D143" s="243"/>
      <c r="E143" s="94"/>
      <c r="F143" s="651"/>
    </row>
    <row r="144" spans="1:6" ht="12" customHeight="1">
      <c r="A144" s="13" t="s">
        <v>113</v>
      </c>
      <c r="B144" s="7" t="s">
        <v>350</v>
      </c>
      <c r="C144" s="158"/>
      <c r="D144" s="243"/>
      <c r="E144" s="94"/>
      <c r="F144" s="651"/>
    </row>
    <row r="145" spans="1:6" ht="12" customHeight="1">
      <c r="A145" s="13" t="s">
        <v>114</v>
      </c>
      <c r="B145" s="7" t="s">
        <v>351</v>
      </c>
      <c r="C145" s="158"/>
      <c r="D145" s="243"/>
      <c r="E145" s="94"/>
      <c r="F145" s="651"/>
    </row>
    <row r="146" spans="1:6" ht="12" customHeight="1" thickBot="1">
      <c r="A146" s="16" t="s">
        <v>115</v>
      </c>
      <c r="B146" s="366" t="s">
        <v>352</v>
      </c>
      <c r="C146" s="232"/>
      <c r="D146" s="308"/>
      <c r="E146" s="226"/>
      <c r="F146" s="651"/>
    </row>
    <row r="147" spans="1:6" ht="12" customHeight="1" thickBot="1">
      <c r="A147" s="18" t="s">
        <v>11</v>
      </c>
      <c r="B147" s="57" t="s">
        <v>360</v>
      </c>
      <c r="C147" s="163">
        <f>+C148+C149+C150+C151</f>
        <v>4112627</v>
      </c>
      <c r="D147" s="245">
        <f>+D148+D149+D150+D151</f>
        <v>13230398</v>
      </c>
      <c r="E147" s="199">
        <f>+E148+E149+E150+E151</f>
        <v>13230398</v>
      </c>
      <c r="F147" s="652"/>
    </row>
    <row r="148" spans="1:6" ht="12" customHeight="1">
      <c r="A148" s="13" t="s">
        <v>60</v>
      </c>
      <c r="B148" s="7" t="s">
        <v>274</v>
      </c>
      <c r="C148" s="158"/>
      <c r="D148" s="243"/>
      <c r="E148" s="94"/>
      <c r="F148" s="651"/>
    </row>
    <row r="149" spans="1:6" ht="12" customHeight="1">
      <c r="A149" s="13" t="s">
        <v>61</v>
      </c>
      <c r="B149" s="7" t="s">
        <v>275</v>
      </c>
      <c r="C149" s="158">
        <v>4112627</v>
      </c>
      <c r="D149" s="243">
        <v>13230398</v>
      </c>
      <c r="E149" s="94">
        <v>13230398</v>
      </c>
      <c r="F149" s="651"/>
    </row>
    <row r="150" spans="1:6" ht="12" customHeight="1">
      <c r="A150" s="13" t="s">
        <v>191</v>
      </c>
      <c r="B150" s="7" t="s">
        <v>361</v>
      </c>
      <c r="C150" s="158"/>
      <c r="D150" s="243"/>
      <c r="E150" s="94"/>
      <c r="F150" s="651"/>
    </row>
    <row r="151" spans="1:6" ht="12" customHeight="1" thickBot="1">
      <c r="A151" s="11" t="s">
        <v>192</v>
      </c>
      <c r="B151" s="5" t="s">
        <v>291</v>
      </c>
      <c r="C151" s="158"/>
      <c r="D151" s="243"/>
      <c r="E151" s="94"/>
      <c r="F151" s="651"/>
    </row>
    <row r="152" spans="1:6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  <c r="F152" s="655"/>
    </row>
    <row r="153" spans="1:6" ht="12" customHeight="1">
      <c r="A153" s="13" t="s">
        <v>62</v>
      </c>
      <c r="B153" s="7" t="s">
        <v>357</v>
      </c>
      <c r="C153" s="158"/>
      <c r="D153" s="243"/>
      <c r="E153" s="94"/>
      <c r="F153" s="651"/>
    </row>
    <row r="154" spans="1:6" ht="12" customHeight="1">
      <c r="A154" s="13" t="s">
        <v>63</v>
      </c>
      <c r="B154" s="7" t="s">
        <v>364</v>
      </c>
      <c r="C154" s="158"/>
      <c r="D154" s="243"/>
      <c r="E154" s="94"/>
      <c r="F154" s="651"/>
    </row>
    <row r="155" spans="1:6" ht="12" customHeight="1">
      <c r="A155" s="13" t="s">
        <v>203</v>
      </c>
      <c r="B155" s="7" t="s">
        <v>359</v>
      </c>
      <c r="C155" s="158"/>
      <c r="D155" s="243"/>
      <c r="E155" s="94"/>
      <c r="F155" s="651"/>
    </row>
    <row r="156" spans="1:6" ht="12" customHeight="1">
      <c r="A156" s="13" t="s">
        <v>204</v>
      </c>
      <c r="B156" s="7" t="s">
        <v>365</v>
      </c>
      <c r="C156" s="158"/>
      <c r="D156" s="243"/>
      <c r="E156" s="94"/>
      <c r="F156" s="651"/>
    </row>
    <row r="157" spans="1:6" ht="12" customHeight="1" thickBot="1">
      <c r="A157" s="13" t="s">
        <v>363</v>
      </c>
      <c r="B157" s="7" t="s">
        <v>366</v>
      </c>
      <c r="C157" s="158"/>
      <c r="D157" s="243"/>
      <c r="E157" s="94"/>
      <c r="F157" s="651"/>
    </row>
    <row r="158" spans="1:6" ht="12" customHeight="1" thickBot="1">
      <c r="A158" s="18" t="s">
        <v>13</v>
      </c>
      <c r="B158" s="57" t="s">
        <v>367</v>
      </c>
      <c r="C158" s="235"/>
      <c r="D158" s="247"/>
      <c r="E158" s="229"/>
      <c r="F158" s="656"/>
    </row>
    <row r="159" spans="1:6" ht="12" customHeight="1" thickBot="1">
      <c r="A159" s="18" t="s">
        <v>14</v>
      </c>
      <c r="B159" s="57" t="s">
        <v>368</v>
      </c>
      <c r="C159" s="235"/>
      <c r="D159" s="247"/>
      <c r="E159" s="229"/>
      <c r="F159" s="656"/>
    </row>
    <row r="160" spans="1:6" ht="15" customHeight="1" thickBot="1">
      <c r="A160" s="18" t="s">
        <v>15</v>
      </c>
      <c r="B160" s="57" t="s">
        <v>370</v>
      </c>
      <c r="C160" s="236">
        <f>+C136+C140+C147+C152+C158+C159</f>
        <v>4112627</v>
      </c>
      <c r="D160" s="248">
        <f>+D136+D140+D147+D152+D158+D159</f>
        <v>13230398</v>
      </c>
      <c r="E160" s="230">
        <f>+E136+E140+E147+E152+E158+E159</f>
        <v>13230398</v>
      </c>
      <c r="F160" s="659"/>
    </row>
    <row r="161" spans="1:6" s="169" customFormat="1" ht="12.75" customHeight="1" thickBot="1">
      <c r="A161" s="103" t="s">
        <v>16</v>
      </c>
      <c r="B161" s="144" t="s">
        <v>369</v>
      </c>
      <c r="C161" s="236">
        <f>+C135+C160</f>
        <v>668399393</v>
      </c>
      <c r="D161" s="248">
        <f>+D135+D160</f>
        <v>726459205</v>
      </c>
      <c r="E161" s="230">
        <f>+E135+E160</f>
        <v>541253610</v>
      </c>
      <c r="F161" s="659"/>
    </row>
    <row r="162" spans="3:4" ht="15">
      <c r="C162" s="603">
        <f>C93-C161</f>
        <v>0</v>
      </c>
      <c r="D162" s="603">
        <f>D93-D161</f>
        <v>0</v>
      </c>
    </row>
    <row r="163" spans="1:6" ht="15">
      <c r="A163" s="753" t="s">
        <v>276</v>
      </c>
      <c r="B163" s="753"/>
      <c r="C163" s="753"/>
      <c r="D163" s="753"/>
      <c r="E163" s="753"/>
      <c r="F163" s="641"/>
    </row>
    <row r="164" spans="1:6" ht="15" customHeight="1" thickBot="1">
      <c r="A164" s="745" t="s">
        <v>101</v>
      </c>
      <c r="B164" s="745"/>
      <c r="C164" s="105"/>
      <c r="E164" s="105" t="str">
        <f>E96</f>
        <v> Forintban!</v>
      </c>
      <c r="F164" s="657"/>
    </row>
    <row r="165" spans="1:6" ht="25.5" customHeight="1" thickBot="1">
      <c r="A165" s="18">
        <v>1</v>
      </c>
      <c r="B165" s="23" t="s">
        <v>371</v>
      </c>
      <c r="C165" s="240">
        <f>+C68-C135</f>
        <v>-122064280</v>
      </c>
      <c r="D165" s="157">
        <f>+D68-D135</f>
        <v>-161851784</v>
      </c>
      <c r="E165" s="93">
        <f>+E68-E135</f>
        <v>17555489</v>
      </c>
      <c r="F165" s="650"/>
    </row>
    <row r="166" spans="1:6" ht="32.25" customHeight="1" thickBot="1">
      <c r="A166" s="18" t="s">
        <v>7</v>
      </c>
      <c r="B166" s="23" t="s">
        <v>377</v>
      </c>
      <c r="C166" s="157">
        <f>+C92-C160</f>
        <v>122064280</v>
      </c>
      <c r="D166" s="157">
        <f>+D92-D160</f>
        <v>161851784</v>
      </c>
      <c r="E166" s="93">
        <f>+E92-E160</f>
        <v>161851784</v>
      </c>
      <c r="F166" s="650"/>
    </row>
  </sheetData>
  <sheetProtection/>
  <mergeCells count="16">
    <mergeCell ref="B1:E1"/>
    <mergeCell ref="A2:E2"/>
    <mergeCell ref="A3:E3"/>
    <mergeCell ref="A4:E4"/>
    <mergeCell ref="A6:E6"/>
    <mergeCell ref="A7:B7"/>
    <mergeCell ref="A164:B164"/>
    <mergeCell ref="A8:A9"/>
    <mergeCell ref="B8:B9"/>
    <mergeCell ref="C8:E8"/>
    <mergeCell ref="A97:A98"/>
    <mergeCell ref="B97:B98"/>
    <mergeCell ref="C97:E97"/>
    <mergeCell ref="A163:E163"/>
    <mergeCell ref="A95:E95"/>
    <mergeCell ref="A96:B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zoomScale="120" zoomScaleNormal="120" zoomScaleSheetLayoutView="100" workbookViewId="0" topLeftCell="A142">
      <selection activeCell="C162" sqref="C162"/>
    </sheetView>
  </sheetViews>
  <sheetFormatPr defaultColWidth="9.375" defaultRowHeight="12.75"/>
  <cols>
    <col min="1" max="1" width="9.50390625" style="145" customWidth="1"/>
    <col min="2" max="2" width="65.75390625" style="145" customWidth="1"/>
    <col min="3" max="3" width="17.75390625" style="146" customWidth="1"/>
    <col min="4" max="5" width="17.75390625" style="167" customWidth="1"/>
    <col min="6" max="6" width="9.375" style="167" customWidth="1"/>
    <col min="7" max="16384" width="9.375" style="167" customWidth="1"/>
  </cols>
  <sheetData>
    <row r="1" spans="1:5" ht="15">
      <c r="A1" s="367"/>
      <c r="B1" s="756" t="str">
        <f>CONCATENATE("1.2. melléklet ",Z_ALAPADATOK!A7," ",Z_ALAPADATOK!B7," ",Z_ALAPADATOK!C7," ",Z_ALAPADATOK!D7," ",Z_ALAPADATOK!E7," ",Z_ALAPADATOK!F7," ",Z_ALAPADATOK!G7," ",Z_ALAPADATOK!H7)</f>
        <v>1.2. melléklet a … / 2020. ( … ) önkormányzati rendelethez</v>
      </c>
      <c r="C1" s="757"/>
      <c r="D1" s="757"/>
      <c r="E1" s="757"/>
    </row>
    <row r="2" spans="1:5" ht="15">
      <c r="A2" s="758" t="str">
        <f>CONCATENATE(Z_ALAPADATOK!A3)</f>
        <v>Balatonvilágos Község Önkormányzata</v>
      </c>
      <c r="B2" s="759"/>
      <c r="C2" s="759"/>
      <c r="D2" s="759"/>
      <c r="E2" s="759"/>
    </row>
    <row r="3" spans="1:5" ht="15">
      <c r="A3" s="758" t="s">
        <v>806</v>
      </c>
      <c r="B3" s="758"/>
      <c r="C3" s="760"/>
      <c r="D3" s="758"/>
      <c r="E3" s="758"/>
    </row>
    <row r="4" spans="1:5" ht="17.25" customHeight="1">
      <c r="A4" s="758" t="s">
        <v>796</v>
      </c>
      <c r="B4" s="758"/>
      <c r="C4" s="760"/>
      <c r="D4" s="758"/>
      <c r="E4" s="758"/>
    </row>
    <row r="5" spans="1:5" ht="15">
      <c r="A5" s="367"/>
      <c r="B5" s="367"/>
      <c r="C5" s="368"/>
      <c r="D5" s="369"/>
      <c r="E5" s="369"/>
    </row>
    <row r="6" spans="1:5" ht="15.75" customHeight="1">
      <c r="A6" s="761" t="s">
        <v>3</v>
      </c>
      <c r="B6" s="761"/>
      <c r="C6" s="761"/>
      <c r="D6" s="761"/>
      <c r="E6" s="761"/>
    </row>
    <row r="7" spans="1:5" ht="15.75" customHeight="1" thickBot="1">
      <c r="A7" s="762" t="s">
        <v>99</v>
      </c>
      <c r="B7" s="762"/>
      <c r="C7" s="370"/>
      <c r="D7" s="369"/>
      <c r="E7" s="370" t="str">
        <f>CONCATENATE('Z_1.1.sz.mell.'!E7)</f>
        <v> Forintban!</v>
      </c>
    </row>
    <row r="8" spans="1:5" ht="1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</row>
    <row r="9" spans="1:5" ht="23.25" thickBot="1">
      <c r="A9" s="747"/>
      <c r="B9" s="749"/>
      <c r="C9" s="238" t="s">
        <v>414</v>
      </c>
      <c r="D9" s="237" t="s">
        <v>415</v>
      </c>
      <c r="E9" s="356" t="str">
        <f>CONCATENATE('Z_1.1.sz.mell.'!E9)</f>
        <v>2019. XII. 31.
teljesítés</v>
      </c>
    </row>
    <row r="10" spans="1:5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</row>
    <row r="11" spans="1:5" s="169" customFormat="1" ht="12" customHeight="1" thickBot="1">
      <c r="A11" s="18" t="s">
        <v>6</v>
      </c>
      <c r="B11" s="19" t="s">
        <v>156</v>
      </c>
      <c r="C11" s="157">
        <f>+C12+C13+C14+C15+C16+C17</f>
        <v>114843006</v>
      </c>
      <c r="D11" s="157">
        <f>+D12+D13+D14+D15+D16+D17</f>
        <v>123109630</v>
      </c>
      <c r="E11" s="93">
        <f>+E12+E13+E14+E15+E16+E17</f>
        <v>123109630</v>
      </c>
    </row>
    <row r="12" spans="1:5" s="169" customFormat="1" ht="12" customHeight="1">
      <c r="A12" s="13" t="s">
        <v>64</v>
      </c>
      <c r="B12" s="170" t="s">
        <v>157</v>
      </c>
      <c r="C12" s="159">
        <v>40818439</v>
      </c>
      <c r="D12" s="159">
        <v>42128995</v>
      </c>
      <c r="E12" s="95">
        <v>42128995</v>
      </c>
    </row>
    <row r="13" spans="1:5" s="169" customFormat="1" ht="12" customHeight="1">
      <c r="A13" s="12" t="s">
        <v>65</v>
      </c>
      <c r="B13" s="171" t="s">
        <v>158</v>
      </c>
      <c r="C13" s="158">
        <v>36859717</v>
      </c>
      <c r="D13" s="158">
        <v>38563100</v>
      </c>
      <c r="E13" s="94">
        <v>38563100</v>
      </c>
    </row>
    <row r="14" spans="1:5" s="169" customFormat="1" ht="12" customHeight="1">
      <c r="A14" s="12" t="s">
        <v>66</v>
      </c>
      <c r="B14" s="171" t="s">
        <v>159</v>
      </c>
      <c r="C14" s="158">
        <v>35364850</v>
      </c>
      <c r="D14" s="158">
        <v>28917785</v>
      </c>
      <c r="E14" s="94">
        <v>28917785</v>
      </c>
    </row>
    <row r="15" spans="1:5" s="169" customFormat="1" ht="12" customHeight="1">
      <c r="A15" s="12" t="s">
        <v>67</v>
      </c>
      <c r="B15" s="171" t="s">
        <v>160</v>
      </c>
      <c r="C15" s="158">
        <v>1800000</v>
      </c>
      <c r="D15" s="158">
        <v>1808000</v>
      </c>
      <c r="E15" s="94">
        <v>1808000</v>
      </c>
    </row>
    <row r="16" spans="1:5" s="169" customFormat="1" ht="12" customHeight="1">
      <c r="A16" s="12" t="s">
        <v>96</v>
      </c>
      <c r="B16" s="101" t="s">
        <v>329</v>
      </c>
      <c r="C16" s="158"/>
      <c r="D16" s="158">
        <v>11691750</v>
      </c>
      <c r="E16" s="94">
        <v>11691750</v>
      </c>
    </row>
    <row r="17" spans="1:5" s="169" customFormat="1" ht="12" customHeight="1" thickBot="1">
      <c r="A17" s="14" t="s">
        <v>68</v>
      </c>
      <c r="B17" s="102" t="s">
        <v>330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161</v>
      </c>
      <c r="C18" s="157">
        <f>+C19+C20+C21+C22+C23</f>
        <v>17284914</v>
      </c>
      <c r="D18" s="157">
        <f>+D19+D20+D21+D22+D23</f>
        <v>20516737</v>
      </c>
      <c r="E18" s="93">
        <f>+E19+E20+E21+E22+E23</f>
        <v>21041960</v>
      </c>
    </row>
    <row r="19" spans="1:5" s="169" customFormat="1" ht="12" customHeight="1">
      <c r="A19" s="13" t="s">
        <v>70</v>
      </c>
      <c r="B19" s="170" t="s">
        <v>162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163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321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322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164</v>
      </c>
      <c r="C23" s="158">
        <v>17284914</v>
      </c>
      <c r="D23" s="158">
        <v>20516737</v>
      </c>
      <c r="E23" s="94">
        <v>21041960</v>
      </c>
    </row>
    <row r="24" spans="1:5" s="169" customFormat="1" ht="12" customHeight="1" thickBot="1">
      <c r="A24" s="14" t="s">
        <v>81</v>
      </c>
      <c r="B24" s="102" t="s">
        <v>165</v>
      </c>
      <c r="C24" s="160"/>
      <c r="D24" s="160"/>
      <c r="E24" s="96"/>
    </row>
    <row r="25" spans="1:5" s="169" customFormat="1" ht="12" customHeight="1" thickBot="1">
      <c r="A25" s="18" t="s">
        <v>8</v>
      </c>
      <c r="B25" s="19" t="s">
        <v>166</v>
      </c>
      <c r="C25" s="157">
        <f>+C26+C27+C28+C29+C30</f>
        <v>145309282</v>
      </c>
      <c r="D25" s="157">
        <f>+D26+D27+D28+D29+D30</f>
        <v>108981962</v>
      </c>
      <c r="E25" s="93">
        <f>+E26+E27+E28+E29+E30</f>
        <v>112960973</v>
      </c>
    </row>
    <row r="26" spans="1:5" s="169" customFormat="1" ht="12" customHeight="1">
      <c r="A26" s="13" t="s">
        <v>53</v>
      </c>
      <c r="B26" s="170" t="s">
        <v>167</v>
      </c>
      <c r="C26" s="159">
        <v>145309282</v>
      </c>
      <c r="D26" s="159">
        <v>108981962</v>
      </c>
      <c r="E26" s="95">
        <v>112960973</v>
      </c>
    </row>
    <row r="27" spans="1:5" s="169" customFormat="1" ht="12" customHeight="1">
      <c r="A27" s="12" t="s">
        <v>54</v>
      </c>
      <c r="B27" s="171" t="s">
        <v>168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323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324</v>
      </c>
      <c r="C29" s="158"/>
      <c r="D29" s="158"/>
      <c r="E29" s="94"/>
    </row>
    <row r="30" spans="1:5" s="169" customFormat="1" ht="12" customHeight="1">
      <c r="A30" s="12" t="s">
        <v>109</v>
      </c>
      <c r="B30" s="171" t="s">
        <v>169</v>
      </c>
      <c r="C30" s="158"/>
      <c r="D30" s="158"/>
      <c r="E30" s="94"/>
    </row>
    <row r="31" spans="1:5" s="169" customFormat="1" ht="12" customHeight="1" thickBot="1">
      <c r="A31" s="14" t="s">
        <v>110</v>
      </c>
      <c r="B31" s="172" t="s">
        <v>170</v>
      </c>
      <c r="C31" s="160"/>
      <c r="D31" s="160"/>
      <c r="E31" s="96"/>
    </row>
    <row r="32" spans="1:5" s="169" customFormat="1" ht="12" customHeight="1" thickBot="1">
      <c r="A32" s="18" t="s">
        <v>111</v>
      </c>
      <c r="B32" s="19" t="s">
        <v>480</v>
      </c>
      <c r="C32" s="163">
        <f>SUM(C33:C39)</f>
        <v>197329000</v>
      </c>
      <c r="D32" s="163">
        <f>SUM(D33:D39)</f>
        <v>222693906</v>
      </c>
      <c r="E32" s="199">
        <f>SUM(E33:E39)</f>
        <v>221476906</v>
      </c>
    </row>
    <row r="33" spans="1:5" s="169" customFormat="1" ht="12" customHeight="1">
      <c r="A33" s="13" t="s">
        <v>171</v>
      </c>
      <c r="B33" s="170" t="s">
        <v>481</v>
      </c>
      <c r="C33" s="159">
        <v>138679000</v>
      </c>
      <c r="D33" s="159">
        <v>145140467</v>
      </c>
      <c r="E33" s="95">
        <v>145140467</v>
      </c>
    </row>
    <row r="34" spans="1:5" s="169" customFormat="1" ht="12" customHeight="1">
      <c r="A34" s="12" t="s">
        <v>172</v>
      </c>
      <c r="B34" s="171" t="s">
        <v>482</v>
      </c>
      <c r="C34" s="158">
        <v>19000000</v>
      </c>
      <c r="D34" s="158">
        <v>19000000</v>
      </c>
      <c r="E34" s="94">
        <v>17692000</v>
      </c>
    </row>
    <row r="35" spans="1:5" s="169" customFormat="1" ht="12" customHeight="1">
      <c r="A35" s="12" t="s">
        <v>173</v>
      </c>
      <c r="B35" s="171" t="s">
        <v>483</v>
      </c>
      <c r="C35" s="158">
        <v>35000000</v>
      </c>
      <c r="D35" s="158">
        <v>51045335</v>
      </c>
      <c r="E35" s="94">
        <v>51045335</v>
      </c>
    </row>
    <row r="36" spans="1:5" s="169" customFormat="1" ht="12" customHeight="1">
      <c r="A36" s="12" t="s">
        <v>174</v>
      </c>
      <c r="B36" s="171" t="s">
        <v>484</v>
      </c>
      <c r="C36" s="158"/>
      <c r="D36" s="158"/>
      <c r="E36" s="94"/>
    </row>
    <row r="37" spans="1:5" s="169" customFormat="1" ht="12" customHeight="1">
      <c r="A37" s="12" t="s">
        <v>485</v>
      </c>
      <c r="B37" s="171" t="s">
        <v>175</v>
      </c>
      <c r="C37" s="158">
        <v>4000000</v>
      </c>
      <c r="D37" s="158">
        <v>5897111</v>
      </c>
      <c r="E37" s="94">
        <v>5897111</v>
      </c>
    </row>
    <row r="38" spans="1:5" s="169" customFormat="1" ht="12" customHeight="1">
      <c r="A38" s="12" t="s">
        <v>486</v>
      </c>
      <c r="B38" s="171" t="s">
        <v>176</v>
      </c>
      <c r="C38" s="158"/>
      <c r="D38" s="158"/>
      <c r="E38" s="94"/>
    </row>
    <row r="39" spans="1:5" s="169" customFormat="1" ht="12" customHeight="1" thickBot="1">
      <c r="A39" s="14" t="s">
        <v>487</v>
      </c>
      <c r="B39" s="317" t="s">
        <v>177</v>
      </c>
      <c r="C39" s="160">
        <v>650000</v>
      </c>
      <c r="D39" s="160">
        <v>1610993</v>
      </c>
      <c r="E39" s="96">
        <v>1701993</v>
      </c>
    </row>
    <row r="40" spans="1:5" s="169" customFormat="1" ht="12" customHeight="1" thickBot="1">
      <c r="A40" s="18" t="s">
        <v>10</v>
      </c>
      <c r="B40" s="19" t="s">
        <v>331</v>
      </c>
      <c r="C40" s="157">
        <f>SUM(C41:C51)</f>
        <v>31949389</v>
      </c>
      <c r="D40" s="157">
        <f>SUM(D41:D51)</f>
        <v>31954058</v>
      </c>
      <c r="E40" s="93">
        <f>SUM(E41:E51)</f>
        <v>23359235</v>
      </c>
    </row>
    <row r="41" spans="1:5" s="169" customFormat="1" ht="12" customHeight="1">
      <c r="A41" s="13" t="s">
        <v>57</v>
      </c>
      <c r="B41" s="170" t="s">
        <v>180</v>
      </c>
      <c r="C41" s="159">
        <v>11639422</v>
      </c>
      <c r="D41" s="159">
        <v>11639422</v>
      </c>
      <c r="E41" s="95">
        <v>99000</v>
      </c>
    </row>
    <row r="42" spans="1:5" s="169" customFormat="1" ht="12" customHeight="1">
      <c r="A42" s="12" t="s">
        <v>58</v>
      </c>
      <c r="B42" s="171" t="s">
        <v>181</v>
      </c>
      <c r="C42" s="158"/>
      <c r="D42" s="158"/>
      <c r="E42" s="94">
        <v>8829767</v>
      </c>
    </row>
    <row r="43" spans="1:5" s="169" customFormat="1" ht="12" customHeight="1">
      <c r="A43" s="12" t="s">
        <v>59</v>
      </c>
      <c r="B43" s="171" t="s">
        <v>182</v>
      </c>
      <c r="C43" s="158">
        <v>2702684</v>
      </c>
      <c r="D43" s="158">
        <v>2702684</v>
      </c>
      <c r="E43" s="94">
        <v>2633254</v>
      </c>
    </row>
    <row r="44" spans="1:5" s="169" customFormat="1" ht="12" customHeight="1">
      <c r="A44" s="12" t="s">
        <v>113</v>
      </c>
      <c r="B44" s="171" t="s">
        <v>183</v>
      </c>
      <c r="C44" s="158"/>
      <c r="D44" s="158"/>
      <c r="E44" s="94"/>
    </row>
    <row r="45" spans="1:5" s="169" customFormat="1" ht="12" customHeight="1">
      <c r="A45" s="12" t="s">
        <v>114</v>
      </c>
      <c r="B45" s="171" t="s">
        <v>184</v>
      </c>
      <c r="C45" s="158">
        <v>10945800</v>
      </c>
      <c r="D45" s="158">
        <v>10945800</v>
      </c>
      <c r="E45" s="94">
        <v>6265586</v>
      </c>
    </row>
    <row r="46" spans="1:5" s="169" customFormat="1" ht="12" customHeight="1">
      <c r="A46" s="12" t="s">
        <v>115</v>
      </c>
      <c r="B46" s="171" t="s">
        <v>185</v>
      </c>
      <c r="C46" s="158">
        <v>6611483</v>
      </c>
      <c r="D46" s="158">
        <v>6611483</v>
      </c>
      <c r="E46" s="94">
        <v>5238474</v>
      </c>
    </row>
    <row r="47" spans="1:5" s="169" customFormat="1" ht="12" customHeight="1">
      <c r="A47" s="12" t="s">
        <v>116</v>
      </c>
      <c r="B47" s="171" t="s">
        <v>186</v>
      </c>
      <c r="C47" s="158"/>
      <c r="D47" s="158"/>
      <c r="E47" s="94"/>
    </row>
    <row r="48" spans="1:5" s="169" customFormat="1" ht="12" customHeight="1">
      <c r="A48" s="12" t="s">
        <v>117</v>
      </c>
      <c r="B48" s="171" t="s">
        <v>488</v>
      </c>
      <c r="C48" s="158">
        <v>50000</v>
      </c>
      <c r="D48" s="158">
        <v>50000</v>
      </c>
      <c r="E48" s="94">
        <v>184</v>
      </c>
    </row>
    <row r="49" spans="1:5" s="169" customFormat="1" ht="12" customHeight="1">
      <c r="A49" s="12" t="s">
        <v>178</v>
      </c>
      <c r="B49" s="171" t="s">
        <v>188</v>
      </c>
      <c r="C49" s="161"/>
      <c r="D49" s="161">
        <v>4669</v>
      </c>
      <c r="E49" s="97">
        <v>5399</v>
      </c>
    </row>
    <row r="50" spans="1:5" s="169" customFormat="1" ht="12" customHeight="1">
      <c r="A50" s="14" t="s">
        <v>179</v>
      </c>
      <c r="B50" s="172" t="s">
        <v>333</v>
      </c>
      <c r="C50" s="162"/>
      <c r="D50" s="162"/>
      <c r="E50" s="98"/>
    </row>
    <row r="51" spans="1:5" s="169" customFormat="1" ht="12" customHeight="1" thickBot="1">
      <c r="A51" s="14" t="s">
        <v>332</v>
      </c>
      <c r="B51" s="102" t="s">
        <v>189</v>
      </c>
      <c r="C51" s="162"/>
      <c r="D51" s="162"/>
      <c r="E51" s="98">
        <v>287571</v>
      </c>
    </row>
    <row r="52" spans="1:5" s="169" customFormat="1" ht="12" customHeight="1" thickBot="1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33858</v>
      </c>
    </row>
    <row r="53" spans="1:5" s="169" customFormat="1" ht="12" customHeight="1">
      <c r="A53" s="13" t="s">
        <v>60</v>
      </c>
      <c r="B53" s="170" t="s">
        <v>194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195</v>
      </c>
      <c r="C54" s="161"/>
      <c r="D54" s="161"/>
      <c r="E54" s="97"/>
    </row>
    <row r="55" spans="1:5" s="169" customFormat="1" ht="12" customHeight="1">
      <c r="A55" s="12" t="s">
        <v>191</v>
      </c>
      <c r="B55" s="171" t="s">
        <v>196</v>
      </c>
      <c r="C55" s="161"/>
      <c r="D55" s="161"/>
      <c r="E55" s="97">
        <v>33858</v>
      </c>
    </row>
    <row r="56" spans="1:5" s="169" customFormat="1" ht="12" customHeight="1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>
      <c r="A58" s="18" t="s">
        <v>118</v>
      </c>
      <c r="B58" s="19" t="s">
        <v>199</v>
      </c>
      <c r="C58" s="157">
        <f>SUM(C59:C61)</f>
        <v>982365</v>
      </c>
      <c r="D58" s="157">
        <f>SUM(D59:D61)</f>
        <v>243737</v>
      </c>
      <c r="E58" s="93">
        <f>SUM(E59:E61)</f>
        <v>243737</v>
      </c>
    </row>
    <row r="59" spans="1:5" s="169" customFormat="1" ht="12" customHeight="1">
      <c r="A59" s="13" t="s">
        <v>62</v>
      </c>
      <c r="B59" s="170" t="s">
        <v>200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325</v>
      </c>
      <c r="C60" s="158">
        <v>982365</v>
      </c>
      <c r="D60" s="158">
        <v>42000</v>
      </c>
      <c r="E60" s="94">
        <v>42000</v>
      </c>
    </row>
    <row r="61" spans="1:5" s="169" customFormat="1" ht="12" customHeight="1">
      <c r="A61" s="12" t="s">
        <v>203</v>
      </c>
      <c r="B61" s="171" t="s">
        <v>201</v>
      </c>
      <c r="C61" s="158"/>
      <c r="D61" s="158">
        <v>201737</v>
      </c>
      <c r="E61" s="94">
        <v>201737</v>
      </c>
    </row>
    <row r="62" spans="1:5" s="169" customFormat="1" ht="12" customHeight="1" thickBot="1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3906518</v>
      </c>
      <c r="E63" s="93">
        <f>SUM(E64:E66)</f>
        <v>3622195</v>
      </c>
    </row>
    <row r="64" spans="1:5" s="169" customFormat="1" ht="12" customHeight="1">
      <c r="A64" s="13" t="s">
        <v>119</v>
      </c>
      <c r="B64" s="170" t="s">
        <v>207</v>
      </c>
      <c r="C64" s="161"/>
      <c r="D64" s="161"/>
      <c r="E64" s="97"/>
    </row>
    <row r="65" spans="1:5" s="169" customFormat="1" ht="12" customHeight="1">
      <c r="A65" s="12" t="s">
        <v>120</v>
      </c>
      <c r="B65" s="171" t="s">
        <v>326</v>
      </c>
      <c r="C65" s="161"/>
      <c r="D65" s="161">
        <v>2056518</v>
      </c>
      <c r="E65" s="97">
        <v>2022195</v>
      </c>
    </row>
    <row r="66" spans="1:5" s="169" customFormat="1" ht="12" customHeight="1">
      <c r="A66" s="12" t="s">
        <v>139</v>
      </c>
      <c r="B66" s="171" t="s">
        <v>208</v>
      </c>
      <c r="C66" s="161"/>
      <c r="D66" s="161">
        <v>1850000</v>
      </c>
      <c r="E66" s="97">
        <v>1600000</v>
      </c>
    </row>
    <row r="67" spans="1:5" s="169" customFormat="1" ht="12" customHeight="1" thickBot="1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>
      <c r="A68" s="221" t="s">
        <v>373</v>
      </c>
      <c r="B68" s="19" t="s">
        <v>210</v>
      </c>
      <c r="C68" s="163">
        <f>+C11+C18+C25+C32+C40+C52+C58+C63</f>
        <v>507697956</v>
      </c>
      <c r="D68" s="163">
        <f>+D11+D18+D25+D32+D40+D52+D58+D63</f>
        <v>511406548</v>
      </c>
      <c r="E68" s="199">
        <f>+E11+E18+E25+E32+E40+E52+E58+E63</f>
        <v>505848494</v>
      </c>
    </row>
    <row r="69" spans="1:5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>
      <c r="A72" s="14" t="s">
        <v>250</v>
      </c>
      <c r="B72" s="217" t="s">
        <v>358</v>
      </c>
      <c r="C72" s="161"/>
      <c r="D72" s="161"/>
      <c r="E72" s="97"/>
    </row>
    <row r="73" spans="1:5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97</v>
      </c>
      <c r="B74" s="354" t="s">
        <v>218</v>
      </c>
      <c r="C74" s="161"/>
      <c r="D74" s="161"/>
      <c r="E74" s="97"/>
    </row>
    <row r="75" spans="1:5" s="169" customFormat="1" ht="12" customHeight="1">
      <c r="A75" s="12" t="s">
        <v>98</v>
      </c>
      <c r="B75" s="354" t="s">
        <v>495</v>
      </c>
      <c r="C75" s="161"/>
      <c r="D75" s="161"/>
      <c r="E75" s="97"/>
    </row>
    <row r="76" spans="1:5" s="169" customFormat="1" ht="12" customHeight="1">
      <c r="A76" s="12" t="s">
        <v>241</v>
      </c>
      <c r="B76" s="354" t="s">
        <v>219</v>
      </c>
      <c r="C76" s="161"/>
      <c r="D76" s="161"/>
      <c r="E76" s="97"/>
    </row>
    <row r="77" spans="1:5" s="169" customFormat="1" ht="12" customHeight="1" thickBot="1">
      <c r="A77" s="14" t="s">
        <v>242</v>
      </c>
      <c r="B77" s="355" t="s">
        <v>496</v>
      </c>
      <c r="C77" s="161"/>
      <c r="D77" s="161"/>
      <c r="E77" s="97"/>
    </row>
    <row r="78" spans="1:5" s="169" customFormat="1" ht="12" customHeight="1" thickBot="1">
      <c r="A78" s="211" t="s">
        <v>220</v>
      </c>
      <c r="B78" s="100" t="s">
        <v>221</v>
      </c>
      <c r="C78" s="157">
        <f>SUM(C79:C80)</f>
        <v>126176907</v>
      </c>
      <c r="D78" s="157">
        <f>SUM(D79:D80)</f>
        <v>161905313</v>
      </c>
      <c r="E78" s="93">
        <f>SUM(E79:E80)</f>
        <v>161905313</v>
      </c>
    </row>
    <row r="79" spans="1:5" s="169" customFormat="1" ht="12" customHeight="1">
      <c r="A79" s="13" t="s">
        <v>243</v>
      </c>
      <c r="B79" s="170" t="s">
        <v>222</v>
      </c>
      <c r="C79" s="161">
        <v>126176907</v>
      </c>
      <c r="D79" s="161">
        <v>161905313</v>
      </c>
      <c r="E79" s="97">
        <v>161905313</v>
      </c>
    </row>
    <row r="80" spans="1:5" s="169" customFormat="1" ht="12" customHeight="1" thickBot="1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13176869</v>
      </c>
      <c r="E81" s="93">
        <f>SUM(E82:E84)</f>
        <v>13176869</v>
      </c>
    </row>
    <row r="82" spans="1:5" s="169" customFormat="1" ht="12" customHeight="1">
      <c r="A82" s="13" t="s">
        <v>245</v>
      </c>
      <c r="B82" s="170" t="s">
        <v>226</v>
      </c>
      <c r="C82" s="161"/>
      <c r="D82" s="161">
        <v>13176869</v>
      </c>
      <c r="E82" s="97">
        <v>13176869</v>
      </c>
    </row>
    <row r="83" spans="1:5" s="169" customFormat="1" ht="12" customHeight="1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>
      <c r="A84" s="14" t="s">
        <v>247</v>
      </c>
      <c r="B84" s="102" t="s">
        <v>497</v>
      </c>
      <c r="C84" s="161"/>
      <c r="D84" s="161"/>
      <c r="E84" s="97"/>
    </row>
    <row r="85" spans="1:5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>
      <c r="A90" s="211" t="s">
        <v>237</v>
      </c>
      <c r="B90" s="100" t="s">
        <v>372</v>
      </c>
      <c r="C90" s="213"/>
      <c r="D90" s="213"/>
      <c r="E90" s="214"/>
    </row>
    <row r="91" spans="1:5" s="169" customFormat="1" ht="13.5" customHeight="1" thickBot="1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>
      <c r="A92" s="211" t="s">
        <v>251</v>
      </c>
      <c r="B92" s="177" t="s">
        <v>375</v>
      </c>
      <c r="C92" s="163">
        <f>+C69+C73+C78+C81+C85+C91+C90</f>
        <v>126176907</v>
      </c>
      <c r="D92" s="163">
        <f>+D69+D73+D78+D81+D85+D91+D90</f>
        <v>175082182</v>
      </c>
      <c r="E92" s="199">
        <f>+E69+E73+E78+E81+E85+E91+E90</f>
        <v>175082182</v>
      </c>
    </row>
    <row r="93" spans="1:5" s="169" customFormat="1" ht="25.5" customHeight="1" thickBot="1">
      <c r="A93" s="212" t="s">
        <v>374</v>
      </c>
      <c r="B93" s="178" t="s">
        <v>376</v>
      </c>
      <c r="C93" s="163">
        <f>+C68+C92</f>
        <v>633874863</v>
      </c>
      <c r="D93" s="163">
        <f>+D68+D92</f>
        <v>686488730</v>
      </c>
      <c r="E93" s="199">
        <f>+E68+E92</f>
        <v>680930676</v>
      </c>
    </row>
    <row r="94" spans="1:3" s="169" customFormat="1" ht="15" customHeight="1">
      <c r="A94" s="3"/>
      <c r="B94" s="4"/>
      <c r="C94" s="104"/>
    </row>
    <row r="95" spans="1:5" ht="16.5" customHeight="1">
      <c r="A95" s="754" t="s">
        <v>34</v>
      </c>
      <c r="B95" s="754"/>
      <c r="C95" s="754"/>
      <c r="D95" s="754"/>
      <c r="E95" s="754"/>
    </row>
    <row r="96" spans="1:5" s="179" customFormat="1" ht="16.5" customHeight="1" thickBot="1">
      <c r="A96" s="755" t="s">
        <v>100</v>
      </c>
      <c r="B96" s="755"/>
      <c r="C96" s="61"/>
      <c r="E96" s="61" t="str">
        <f>E7</f>
        <v> Forintban!</v>
      </c>
    </row>
    <row r="97" spans="1:5" ht="1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</row>
    <row r="98" spans="1:5" ht="23.2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</row>
    <row r="99" spans="1:5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</row>
    <row r="100" spans="1:5" ht="12" customHeight="1" thickBot="1">
      <c r="A100" s="20" t="s">
        <v>6</v>
      </c>
      <c r="B100" s="24" t="s">
        <v>334</v>
      </c>
      <c r="C100" s="156">
        <f>C101+C102+C103+C104+C105+C118</f>
        <v>424272338</v>
      </c>
      <c r="D100" s="156">
        <f>D101+D102+D103+D104+D105+D118</f>
        <v>490506364</v>
      </c>
      <c r="E100" s="224">
        <f>E101+E102+E103+E104+E105+E118</f>
        <v>381095379</v>
      </c>
    </row>
    <row r="101" spans="1:5" ht="12" customHeight="1">
      <c r="A101" s="15" t="s">
        <v>64</v>
      </c>
      <c r="B101" s="8" t="s">
        <v>35</v>
      </c>
      <c r="C101" s="231">
        <v>133678031</v>
      </c>
      <c r="D101" s="231">
        <v>140098991</v>
      </c>
      <c r="E101" s="225">
        <v>131670637</v>
      </c>
    </row>
    <row r="102" spans="1:5" ht="12" customHeight="1">
      <c r="A102" s="12" t="s">
        <v>65</v>
      </c>
      <c r="B102" s="6" t="s">
        <v>121</v>
      </c>
      <c r="C102" s="158">
        <v>29951929</v>
      </c>
      <c r="D102" s="158">
        <v>30718902</v>
      </c>
      <c r="E102" s="94">
        <v>25223664</v>
      </c>
    </row>
    <row r="103" spans="1:5" ht="12" customHeight="1">
      <c r="A103" s="12" t="s">
        <v>66</v>
      </c>
      <c r="B103" s="6" t="s">
        <v>92</v>
      </c>
      <c r="C103" s="160">
        <v>163572201</v>
      </c>
      <c r="D103" s="160">
        <v>172732498</v>
      </c>
      <c r="E103" s="96">
        <v>142804350</v>
      </c>
    </row>
    <row r="104" spans="1:5" ht="12" customHeight="1">
      <c r="A104" s="12" t="s">
        <v>67</v>
      </c>
      <c r="B104" s="9" t="s">
        <v>122</v>
      </c>
      <c r="C104" s="160">
        <v>5300000</v>
      </c>
      <c r="D104" s="160">
        <v>5300000</v>
      </c>
      <c r="E104" s="96">
        <v>3851370</v>
      </c>
    </row>
    <row r="105" spans="1:5" ht="12" customHeight="1">
      <c r="A105" s="12" t="s">
        <v>76</v>
      </c>
      <c r="B105" s="17" t="s">
        <v>123</v>
      </c>
      <c r="C105" s="160">
        <v>68346835</v>
      </c>
      <c r="D105" s="160">
        <v>78847498</v>
      </c>
      <c r="E105" s="96">
        <v>77545358</v>
      </c>
    </row>
    <row r="106" spans="1:5" ht="12" customHeight="1">
      <c r="A106" s="12" t="s">
        <v>68</v>
      </c>
      <c r="B106" s="6" t="s">
        <v>339</v>
      </c>
      <c r="C106" s="160">
        <v>1239822</v>
      </c>
      <c r="D106" s="160"/>
      <c r="E106" s="96"/>
    </row>
    <row r="107" spans="1:5" ht="12" customHeight="1">
      <c r="A107" s="12" t="s">
        <v>69</v>
      </c>
      <c r="B107" s="65" t="s">
        <v>338</v>
      </c>
      <c r="C107" s="160"/>
      <c r="D107" s="160"/>
      <c r="E107" s="96"/>
    </row>
    <row r="108" spans="1:5" ht="12" customHeight="1">
      <c r="A108" s="12" t="s">
        <v>77</v>
      </c>
      <c r="B108" s="65" t="s">
        <v>337</v>
      </c>
      <c r="C108" s="160"/>
      <c r="D108" s="160">
        <v>1435360</v>
      </c>
      <c r="E108" s="96">
        <v>1435030</v>
      </c>
    </row>
    <row r="109" spans="1:5" ht="12" customHeight="1">
      <c r="A109" s="12" t="s">
        <v>78</v>
      </c>
      <c r="B109" s="63" t="s">
        <v>254</v>
      </c>
      <c r="C109" s="160"/>
      <c r="D109" s="160"/>
      <c r="E109" s="96"/>
    </row>
    <row r="110" spans="1:5" ht="12" customHeight="1">
      <c r="A110" s="12" t="s">
        <v>79</v>
      </c>
      <c r="B110" s="64" t="s">
        <v>255</v>
      </c>
      <c r="C110" s="160"/>
      <c r="D110" s="160"/>
      <c r="E110" s="96"/>
    </row>
    <row r="111" spans="1:5" ht="12" customHeight="1">
      <c r="A111" s="12" t="s">
        <v>80</v>
      </c>
      <c r="B111" s="64" t="s">
        <v>256</v>
      </c>
      <c r="C111" s="160"/>
      <c r="D111" s="160"/>
      <c r="E111" s="96"/>
    </row>
    <row r="112" spans="1:5" ht="12" customHeight="1">
      <c r="A112" s="12" t="s">
        <v>82</v>
      </c>
      <c r="B112" s="63" t="s">
        <v>257</v>
      </c>
      <c r="C112" s="160">
        <v>48225000</v>
      </c>
      <c r="D112" s="160">
        <v>49033858</v>
      </c>
      <c r="E112" s="96">
        <v>4853858</v>
      </c>
    </row>
    <row r="113" spans="1:5" ht="12" customHeight="1">
      <c r="A113" s="12" t="s">
        <v>124</v>
      </c>
      <c r="B113" s="63" t="s">
        <v>258</v>
      </c>
      <c r="C113" s="160"/>
      <c r="D113" s="160"/>
      <c r="E113" s="96"/>
    </row>
    <row r="114" spans="1:5" ht="12" customHeight="1">
      <c r="A114" s="12" t="s">
        <v>252</v>
      </c>
      <c r="B114" s="64" t="s">
        <v>259</v>
      </c>
      <c r="C114" s="160"/>
      <c r="D114" s="160"/>
      <c r="E114" s="96"/>
    </row>
    <row r="115" spans="1:5" ht="12" customHeight="1">
      <c r="A115" s="11" t="s">
        <v>253</v>
      </c>
      <c r="B115" s="65" t="s">
        <v>260</v>
      </c>
      <c r="C115" s="160"/>
      <c r="D115" s="160"/>
      <c r="E115" s="96"/>
    </row>
    <row r="116" spans="1:5" ht="12" customHeight="1">
      <c r="A116" s="12" t="s">
        <v>335</v>
      </c>
      <c r="B116" s="65" t="s">
        <v>261</v>
      </c>
      <c r="C116" s="160"/>
      <c r="D116" s="160"/>
      <c r="E116" s="96"/>
    </row>
    <row r="117" spans="1:5" ht="12" customHeight="1">
      <c r="A117" s="14" t="s">
        <v>336</v>
      </c>
      <c r="B117" s="65" t="s">
        <v>262</v>
      </c>
      <c r="C117" s="160">
        <v>18882013</v>
      </c>
      <c r="D117" s="160">
        <v>27952000</v>
      </c>
      <c r="E117" s="96">
        <v>26874000</v>
      </c>
    </row>
    <row r="118" spans="1:5" ht="12" customHeight="1">
      <c r="A118" s="12" t="s">
        <v>340</v>
      </c>
      <c r="B118" s="9" t="s">
        <v>36</v>
      </c>
      <c r="C118" s="158">
        <v>23423342</v>
      </c>
      <c r="D118" s="158">
        <v>62808475</v>
      </c>
      <c r="E118" s="94"/>
    </row>
    <row r="119" spans="1:5" ht="12" customHeight="1">
      <c r="A119" s="12" t="s">
        <v>341</v>
      </c>
      <c r="B119" s="6" t="s">
        <v>343</v>
      </c>
      <c r="C119" s="158">
        <v>16584253</v>
      </c>
      <c r="D119" s="158">
        <v>55565549</v>
      </c>
      <c r="E119" s="94"/>
    </row>
    <row r="120" spans="1:5" ht="12" customHeight="1" thickBot="1">
      <c r="A120" s="16" t="s">
        <v>342</v>
      </c>
      <c r="B120" s="220" t="s">
        <v>344</v>
      </c>
      <c r="C120" s="232">
        <v>6839089</v>
      </c>
      <c r="D120" s="232">
        <v>7242926</v>
      </c>
      <c r="E120" s="226"/>
    </row>
    <row r="121" spans="1:5" ht="12" customHeight="1" thickBot="1">
      <c r="A121" s="218" t="s">
        <v>7</v>
      </c>
      <c r="B121" s="219" t="s">
        <v>263</v>
      </c>
      <c r="C121" s="233">
        <f>+C122+C124+C126</f>
        <v>219995099</v>
      </c>
      <c r="D121" s="157">
        <f>+D122+D124+D126</f>
        <v>202164514</v>
      </c>
      <c r="E121" s="227">
        <f>+E122+E124+E126</f>
        <v>132885968</v>
      </c>
    </row>
    <row r="122" spans="1:5" ht="12" customHeight="1">
      <c r="A122" s="13" t="s">
        <v>70</v>
      </c>
      <c r="B122" s="6" t="s">
        <v>138</v>
      </c>
      <c r="C122" s="159">
        <v>109121844</v>
      </c>
      <c r="D122" s="242">
        <v>106481126</v>
      </c>
      <c r="E122" s="95">
        <v>70954176</v>
      </c>
    </row>
    <row r="123" spans="1:5" ht="12" customHeight="1">
      <c r="A123" s="13" t="s">
        <v>71</v>
      </c>
      <c r="B123" s="10" t="s">
        <v>267</v>
      </c>
      <c r="C123" s="159">
        <v>68814684</v>
      </c>
      <c r="D123" s="242">
        <v>68814684</v>
      </c>
      <c r="E123" s="95">
        <v>45463345</v>
      </c>
    </row>
    <row r="124" spans="1:5" ht="12" customHeight="1">
      <c r="A124" s="13" t="s">
        <v>72</v>
      </c>
      <c r="B124" s="10" t="s">
        <v>125</v>
      </c>
      <c r="C124" s="158">
        <v>110873255</v>
      </c>
      <c r="D124" s="243">
        <v>95683388</v>
      </c>
      <c r="E124" s="94">
        <v>61931792</v>
      </c>
    </row>
    <row r="125" spans="1:5" ht="12" customHeight="1">
      <c r="A125" s="13" t="s">
        <v>73</v>
      </c>
      <c r="B125" s="10" t="s">
        <v>268</v>
      </c>
      <c r="C125" s="158"/>
      <c r="D125" s="243"/>
      <c r="E125" s="94"/>
    </row>
    <row r="126" spans="1:5" ht="12" customHeight="1">
      <c r="A126" s="13" t="s">
        <v>74</v>
      </c>
      <c r="B126" s="102" t="s">
        <v>140</v>
      </c>
      <c r="C126" s="158"/>
      <c r="D126" s="243"/>
      <c r="E126" s="94"/>
    </row>
    <row r="127" spans="1:5" ht="12" customHeight="1">
      <c r="A127" s="13" t="s">
        <v>81</v>
      </c>
      <c r="B127" s="101" t="s">
        <v>327</v>
      </c>
      <c r="C127" s="158"/>
      <c r="D127" s="243"/>
      <c r="E127" s="94"/>
    </row>
    <row r="128" spans="1:5" ht="12" customHeight="1">
      <c r="A128" s="13" t="s">
        <v>83</v>
      </c>
      <c r="B128" s="166" t="s">
        <v>273</v>
      </c>
      <c r="C128" s="158"/>
      <c r="D128" s="243"/>
      <c r="E128" s="94"/>
    </row>
    <row r="129" spans="1:5" ht="15">
      <c r="A129" s="13" t="s">
        <v>126</v>
      </c>
      <c r="B129" s="64" t="s">
        <v>256</v>
      </c>
      <c r="C129" s="158"/>
      <c r="D129" s="243"/>
      <c r="E129" s="94"/>
    </row>
    <row r="130" spans="1:5" ht="12" customHeight="1">
      <c r="A130" s="13" t="s">
        <v>127</v>
      </c>
      <c r="B130" s="64" t="s">
        <v>272</v>
      </c>
      <c r="C130" s="158"/>
      <c r="D130" s="243"/>
      <c r="E130" s="94"/>
    </row>
    <row r="131" spans="1:5" ht="12" customHeight="1">
      <c r="A131" s="13" t="s">
        <v>128</v>
      </c>
      <c r="B131" s="64" t="s">
        <v>271</v>
      </c>
      <c r="C131" s="158"/>
      <c r="D131" s="243"/>
      <c r="E131" s="94"/>
    </row>
    <row r="132" spans="1:5" ht="12" customHeight="1">
      <c r="A132" s="13" t="s">
        <v>264</v>
      </c>
      <c r="B132" s="64" t="s">
        <v>259</v>
      </c>
      <c r="C132" s="158"/>
      <c r="D132" s="243"/>
      <c r="E132" s="94"/>
    </row>
    <row r="133" spans="1:5" ht="12" customHeight="1">
      <c r="A133" s="13" t="s">
        <v>265</v>
      </c>
      <c r="B133" s="64" t="s">
        <v>270</v>
      </c>
      <c r="C133" s="158"/>
      <c r="D133" s="243"/>
      <c r="E133" s="94"/>
    </row>
    <row r="134" spans="1:5" ht="15.75" thickBot="1">
      <c r="A134" s="11" t="s">
        <v>266</v>
      </c>
      <c r="B134" s="64" t="s">
        <v>269</v>
      </c>
      <c r="C134" s="160"/>
      <c r="D134" s="244"/>
      <c r="E134" s="96"/>
    </row>
    <row r="135" spans="1:5" ht="12" customHeight="1" thickBot="1">
      <c r="A135" s="18" t="s">
        <v>8</v>
      </c>
      <c r="B135" s="57" t="s">
        <v>345</v>
      </c>
      <c r="C135" s="157">
        <f>+C100+C121</f>
        <v>644267437</v>
      </c>
      <c r="D135" s="241">
        <f>+D100+D121</f>
        <v>692670878</v>
      </c>
      <c r="E135" s="93">
        <f>+E100+E121</f>
        <v>513981347</v>
      </c>
    </row>
    <row r="136" spans="1:5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</row>
    <row r="137" spans="1:5" ht="12" customHeight="1">
      <c r="A137" s="13" t="s">
        <v>171</v>
      </c>
      <c r="B137" s="10" t="s">
        <v>353</v>
      </c>
      <c r="C137" s="158"/>
      <c r="D137" s="243"/>
      <c r="E137" s="94"/>
    </row>
    <row r="138" spans="1:5" ht="12" customHeight="1">
      <c r="A138" s="13" t="s">
        <v>172</v>
      </c>
      <c r="B138" s="10" t="s">
        <v>354</v>
      </c>
      <c r="C138" s="158"/>
      <c r="D138" s="243"/>
      <c r="E138" s="94"/>
    </row>
    <row r="139" spans="1:5" ht="12" customHeight="1" thickBot="1">
      <c r="A139" s="11" t="s">
        <v>173</v>
      </c>
      <c r="B139" s="10" t="s">
        <v>355</v>
      </c>
      <c r="C139" s="158"/>
      <c r="D139" s="243"/>
      <c r="E139" s="94"/>
    </row>
    <row r="140" spans="1:5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356</v>
      </c>
      <c r="C141" s="158"/>
      <c r="D141" s="243"/>
      <c r="E141" s="94"/>
    </row>
    <row r="142" spans="1:5" ht="12" customHeight="1">
      <c r="A142" s="13" t="s">
        <v>58</v>
      </c>
      <c r="B142" s="7" t="s">
        <v>348</v>
      </c>
      <c r="C142" s="158"/>
      <c r="D142" s="243"/>
      <c r="E142" s="94"/>
    </row>
    <row r="143" spans="1:5" ht="12" customHeight="1">
      <c r="A143" s="13" t="s">
        <v>59</v>
      </c>
      <c r="B143" s="7" t="s">
        <v>349</v>
      </c>
      <c r="C143" s="158"/>
      <c r="D143" s="243"/>
      <c r="E143" s="94"/>
    </row>
    <row r="144" spans="1:5" ht="12" customHeight="1">
      <c r="A144" s="13" t="s">
        <v>113</v>
      </c>
      <c r="B144" s="7" t="s">
        <v>350</v>
      </c>
      <c r="C144" s="158"/>
      <c r="D144" s="243"/>
      <c r="E144" s="94"/>
    </row>
    <row r="145" spans="1:5" ht="12" customHeight="1">
      <c r="A145" s="13" t="s">
        <v>114</v>
      </c>
      <c r="B145" s="7" t="s">
        <v>351</v>
      </c>
      <c r="C145" s="158"/>
      <c r="D145" s="243"/>
      <c r="E145" s="94"/>
    </row>
    <row r="146" spans="1:5" ht="12" customHeight="1" thickBot="1">
      <c r="A146" s="16" t="s">
        <v>115</v>
      </c>
      <c r="B146" s="366" t="s">
        <v>352</v>
      </c>
      <c r="C146" s="232"/>
      <c r="D146" s="308"/>
      <c r="E146" s="226"/>
    </row>
    <row r="147" spans="1:5" ht="12" customHeight="1" thickBot="1">
      <c r="A147" s="18" t="s">
        <v>11</v>
      </c>
      <c r="B147" s="57" t="s">
        <v>360</v>
      </c>
      <c r="C147" s="163">
        <f>+C148+C149+C150+C151</f>
        <v>4112627</v>
      </c>
      <c r="D147" s="245">
        <f>+D148+D149+D150+D151</f>
        <v>13230398</v>
      </c>
      <c r="E147" s="199">
        <f>+E148+E149+E150+E151</f>
        <v>13230398</v>
      </c>
    </row>
    <row r="148" spans="1:5" ht="12" customHeight="1">
      <c r="A148" s="13" t="s">
        <v>60</v>
      </c>
      <c r="B148" s="7" t="s">
        <v>274</v>
      </c>
      <c r="C148" s="158"/>
      <c r="D148" s="243"/>
      <c r="E148" s="94"/>
    </row>
    <row r="149" spans="1:5" ht="12" customHeight="1">
      <c r="A149" s="13" t="s">
        <v>61</v>
      </c>
      <c r="B149" s="7" t="s">
        <v>275</v>
      </c>
      <c r="C149" s="158">
        <v>4112627</v>
      </c>
      <c r="D149" s="243">
        <v>13230398</v>
      </c>
      <c r="E149" s="94">
        <v>13230398</v>
      </c>
    </row>
    <row r="150" spans="1:5" ht="12" customHeight="1">
      <c r="A150" s="13" t="s">
        <v>191</v>
      </c>
      <c r="B150" s="7" t="s">
        <v>361</v>
      </c>
      <c r="C150" s="158"/>
      <c r="D150" s="243"/>
      <c r="E150" s="94"/>
    </row>
    <row r="151" spans="1:5" ht="12" customHeight="1" thickBot="1">
      <c r="A151" s="11" t="s">
        <v>192</v>
      </c>
      <c r="B151" s="5" t="s">
        <v>291</v>
      </c>
      <c r="C151" s="158"/>
      <c r="D151" s="243"/>
      <c r="E151" s="94"/>
    </row>
    <row r="152" spans="1:5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</row>
    <row r="153" spans="1:5" ht="12" customHeight="1">
      <c r="A153" s="13" t="s">
        <v>62</v>
      </c>
      <c r="B153" s="7" t="s">
        <v>357</v>
      </c>
      <c r="C153" s="158"/>
      <c r="D153" s="243"/>
      <c r="E153" s="94"/>
    </row>
    <row r="154" spans="1:5" ht="12" customHeight="1">
      <c r="A154" s="13" t="s">
        <v>63</v>
      </c>
      <c r="B154" s="7" t="s">
        <v>364</v>
      </c>
      <c r="C154" s="158"/>
      <c r="D154" s="243"/>
      <c r="E154" s="94"/>
    </row>
    <row r="155" spans="1:5" ht="12" customHeight="1">
      <c r="A155" s="13" t="s">
        <v>203</v>
      </c>
      <c r="B155" s="7" t="s">
        <v>359</v>
      </c>
      <c r="C155" s="158"/>
      <c r="D155" s="243"/>
      <c r="E155" s="94"/>
    </row>
    <row r="156" spans="1:5" ht="12" customHeight="1">
      <c r="A156" s="13" t="s">
        <v>204</v>
      </c>
      <c r="B156" s="7" t="s">
        <v>365</v>
      </c>
      <c r="C156" s="158"/>
      <c r="D156" s="243"/>
      <c r="E156" s="94"/>
    </row>
    <row r="157" spans="1:5" ht="12" customHeight="1" thickBot="1">
      <c r="A157" s="13" t="s">
        <v>363</v>
      </c>
      <c r="B157" s="7" t="s">
        <v>366</v>
      </c>
      <c r="C157" s="158"/>
      <c r="D157" s="243"/>
      <c r="E157" s="94"/>
    </row>
    <row r="158" spans="1:5" ht="12" customHeight="1" thickBot="1">
      <c r="A158" s="18" t="s">
        <v>13</v>
      </c>
      <c r="B158" s="57" t="s">
        <v>367</v>
      </c>
      <c r="C158" s="235"/>
      <c r="D158" s="247"/>
      <c r="E158" s="229"/>
    </row>
    <row r="159" spans="1:5" ht="12" customHeight="1" thickBot="1">
      <c r="A159" s="18" t="s">
        <v>14</v>
      </c>
      <c r="B159" s="57" t="s">
        <v>368</v>
      </c>
      <c r="C159" s="235"/>
      <c r="D159" s="247"/>
      <c r="E159" s="229"/>
    </row>
    <row r="160" spans="1:6" ht="15" customHeight="1" thickBot="1">
      <c r="A160" s="18" t="s">
        <v>15</v>
      </c>
      <c r="B160" s="57" t="s">
        <v>370</v>
      </c>
      <c r="C160" s="236">
        <f>+C136+C140+C147+C152+C158+C159</f>
        <v>4112627</v>
      </c>
      <c r="D160" s="248">
        <f>+D136+D140+D147+D152+D158+D159</f>
        <v>13230398</v>
      </c>
      <c r="E160" s="230">
        <f>+E136+E140+E147+E152+E158+E159</f>
        <v>13230398</v>
      </c>
      <c r="F160" s="180"/>
    </row>
    <row r="161" spans="1:5" s="169" customFormat="1" ht="12.75" customHeight="1" thickBot="1">
      <c r="A161" s="103" t="s">
        <v>16</v>
      </c>
      <c r="B161" s="144" t="s">
        <v>369</v>
      </c>
      <c r="C161" s="236">
        <f>+C135+C160</f>
        <v>648380064</v>
      </c>
      <c r="D161" s="248">
        <f>+D135+D160</f>
        <v>705901276</v>
      </c>
      <c r="E161" s="230">
        <f>+E135+E160</f>
        <v>527211745</v>
      </c>
    </row>
    <row r="162" spans="3:4" ht="15">
      <c r="C162" s="603">
        <f>C93-C161</f>
        <v>-14505201</v>
      </c>
      <c r="D162" s="603">
        <f>D93-D161</f>
        <v>-19412546</v>
      </c>
    </row>
    <row r="163" spans="1:5" ht="15">
      <c r="A163" s="753" t="s">
        <v>276</v>
      </c>
      <c r="B163" s="753"/>
      <c r="C163" s="753"/>
      <c r="D163" s="753"/>
      <c r="E163" s="753"/>
    </row>
    <row r="164" spans="1:5" ht="15" customHeight="1" thickBot="1">
      <c r="A164" s="745" t="s">
        <v>101</v>
      </c>
      <c r="B164" s="745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371</v>
      </c>
      <c r="C165" s="240">
        <f>+C68-C135</f>
        <v>-136569481</v>
      </c>
      <c r="D165" s="157">
        <f>+D68-D135</f>
        <v>-181264330</v>
      </c>
      <c r="E165" s="93">
        <f>+E68-E135</f>
        <v>-8132853</v>
      </c>
    </row>
    <row r="166" spans="1:5" ht="32.25" customHeight="1" thickBot="1">
      <c r="A166" s="18" t="s">
        <v>7</v>
      </c>
      <c r="B166" s="23" t="s">
        <v>377</v>
      </c>
      <c r="C166" s="157">
        <f>+C92-C160</f>
        <v>122064280</v>
      </c>
      <c r="D166" s="157">
        <f>+D92-D160</f>
        <v>161851784</v>
      </c>
      <c r="E166" s="93">
        <f>+E92-E160</f>
        <v>161851784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zoomScale="120" zoomScaleNormal="120" zoomScaleSheetLayoutView="100" workbookViewId="0" topLeftCell="C145">
      <selection activeCell="G145" sqref="G1:U16384"/>
    </sheetView>
  </sheetViews>
  <sheetFormatPr defaultColWidth="9.375" defaultRowHeight="12.75"/>
  <cols>
    <col min="1" max="1" width="9.50390625" style="145" customWidth="1"/>
    <col min="2" max="2" width="65.75390625" style="145" customWidth="1"/>
    <col min="3" max="3" width="17.75390625" style="146" customWidth="1"/>
    <col min="4" max="5" width="17.75390625" style="167" customWidth="1"/>
    <col min="6" max="16384" width="9.375" style="167" customWidth="1"/>
  </cols>
  <sheetData>
    <row r="1" spans="1:5" ht="15">
      <c r="A1" s="367"/>
      <c r="B1" s="756" t="str">
        <f>CONCATENATE("1.3. melléklet ",Z_ALAPADATOK!A7," ",Z_ALAPADATOK!B7," ",Z_ALAPADATOK!C7," ",Z_ALAPADATOK!D7," ",Z_ALAPADATOK!E7," ",Z_ALAPADATOK!F7," ",Z_ALAPADATOK!G7," ",Z_ALAPADATOK!H7)</f>
        <v>1.3. melléklet a … / 2020. ( … ) önkormányzati rendelethez</v>
      </c>
      <c r="C1" s="757"/>
      <c r="D1" s="757"/>
      <c r="E1" s="757"/>
    </row>
    <row r="2" spans="1:5" ht="15">
      <c r="A2" s="758" t="str">
        <f>CONCATENATE(Z_ALAPADATOK!A3)</f>
        <v>Balatonvilágos Község Önkormányzata</v>
      </c>
      <c r="B2" s="759"/>
      <c r="C2" s="759"/>
      <c r="D2" s="759"/>
      <c r="E2" s="759"/>
    </row>
    <row r="3" spans="1:5" ht="15">
      <c r="A3" s="758" t="s">
        <v>806</v>
      </c>
      <c r="B3" s="758"/>
      <c r="C3" s="760"/>
      <c r="D3" s="758"/>
      <c r="E3" s="758"/>
    </row>
    <row r="4" spans="1:5" ht="19.5" customHeight="1">
      <c r="A4" s="758" t="s">
        <v>797</v>
      </c>
      <c r="B4" s="758"/>
      <c r="C4" s="760"/>
      <c r="D4" s="758"/>
      <c r="E4" s="758"/>
    </row>
    <row r="5" spans="1:5" ht="15">
      <c r="A5" s="367"/>
      <c r="B5" s="367"/>
      <c r="C5" s="368"/>
      <c r="D5" s="369"/>
      <c r="E5" s="369"/>
    </row>
    <row r="6" spans="1:5" ht="15.75" customHeight="1">
      <c r="A6" s="761" t="s">
        <v>3</v>
      </c>
      <c r="B6" s="761"/>
      <c r="C6" s="761"/>
      <c r="D6" s="761"/>
      <c r="E6" s="761"/>
    </row>
    <row r="7" spans="1:5" ht="15.75" customHeight="1" thickBot="1">
      <c r="A7" s="762" t="s">
        <v>99</v>
      </c>
      <c r="B7" s="762"/>
      <c r="C7" s="370"/>
      <c r="D7" s="369"/>
      <c r="E7" s="370" t="str">
        <f>CONCATENATE('Z_1.2.sz.mell.'!E7)</f>
        <v> Forintban!</v>
      </c>
    </row>
    <row r="8" spans="1:5" ht="1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</row>
    <row r="9" spans="1:5" ht="23.25" thickBot="1">
      <c r="A9" s="747"/>
      <c r="B9" s="749"/>
      <c r="C9" s="238" t="s">
        <v>414</v>
      </c>
      <c r="D9" s="237" t="s">
        <v>415</v>
      </c>
      <c r="E9" s="356" t="str">
        <f>CONCATENATE('Z_1.2.sz.mell.'!E9)</f>
        <v>2019. XII. 31.
teljesítés</v>
      </c>
    </row>
    <row r="10" spans="1:5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</row>
    <row r="11" spans="1:5" s="169" customFormat="1" ht="12" customHeight="1" thickBot="1">
      <c r="A11" s="18" t="s">
        <v>6</v>
      </c>
      <c r="B11" s="19" t="s">
        <v>156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>
      <c r="A12" s="13" t="s">
        <v>64</v>
      </c>
      <c r="B12" s="170" t="s">
        <v>157</v>
      </c>
      <c r="C12" s="159"/>
      <c r="D12" s="159"/>
      <c r="E12" s="95"/>
    </row>
    <row r="13" spans="1:5" s="169" customFormat="1" ht="12" customHeight="1">
      <c r="A13" s="12" t="s">
        <v>65</v>
      </c>
      <c r="B13" s="171" t="s">
        <v>158</v>
      </c>
      <c r="C13" s="158"/>
      <c r="D13" s="158"/>
      <c r="E13" s="94"/>
    </row>
    <row r="14" spans="1:5" s="169" customFormat="1" ht="12" customHeight="1">
      <c r="A14" s="12" t="s">
        <v>66</v>
      </c>
      <c r="B14" s="171" t="s">
        <v>159</v>
      </c>
      <c r="C14" s="158"/>
      <c r="D14" s="158"/>
      <c r="E14" s="94"/>
    </row>
    <row r="15" spans="1:5" s="169" customFormat="1" ht="12" customHeight="1">
      <c r="A15" s="12" t="s">
        <v>67</v>
      </c>
      <c r="B15" s="171" t="s">
        <v>160</v>
      </c>
      <c r="C15" s="158"/>
      <c r="D15" s="158"/>
      <c r="E15" s="94"/>
    </row>
    <row r="16" spans="1:5" s="169" customFormat="1" ht="12" customHeight="1">
      <c r="A16" s="12" t="s">
        <v>96</v>
      </c>
      <c r="B16" s="101" t="s">
        <v>329</v>
      </c>
      <c r="C16" s="158"/>
      <c r="D16" s="158"/>
      <c r="E16" s="94"/>
    </row>
    <row r="17" spans="1:5" s="169" customFormat="1" ht="12" customHeight="1" thickBot="1">
      <c r="A17" s="14" t="s">
        <v>68</v>
      </c>
      <c r="B17" s="102" t="s">
        <v>330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161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>
      <c r="A19" s="13" t="s">
        <v>70</v>
      </c>
      <c r="B19" s="170" t="s">
        <v>162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163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321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322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164</v>
      </c>
      <c r="C23" s="158"/>
      <c r="D23" s="158"/>
      <c r="E23" s="94"/>
    </row>
    <row r="24" spans="1:5" s="169" customFormat="1" ht="12" customHeight="1" thickBot="1">
      <c r="A24" s="14" t="s">
        <v>81</v>
      </c>
      <c r="B24" s="102" t="s">
        <v>165</v>
      </c>
      <c r="C24" s="160"/>
      <c r="D24" s="160"/>
      <c r="E24" s="96"/>
    </row>
    <row r="25" spans="1:5" s="169" customFormat="1" ht="12" customHeight="1" thickBot="1">
      <c r="A25" s="18" t="s">
        <v>8</v>
      </c>
      <c r="B25" s="19" t="s">
        <v>166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>
      <c r="A26" s="13" t="s">
        <v>53</v>
      </c>
      <c r="B26" s="170" t="s">
        <v>167</v>
      </c>
      <c r="C26" s="159"/>
      <c r="D26" s="159"/>
      <c r="E26" s="95"/>
    </row>
    <row r="27" spans="1:5" s="169" customFormat="1" ht="12" customHeight="1">
      <c r="A27" s="12" t="s">
        <v>54</v>
      </c>
      <c r="B27" s="171" t="s">
        <v>168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323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324</v>
      </c>
      <c r="C29" s="158"/>
      <c r="D29" s="158"/>
      <c r="E29" s="94"/>
    </row>
    <row r="30" spans="1:5" s="169" customFormat="1" ht="12" customHeight="1">
      <c r="A30" s="12" t="s">
        <v>109</v>
      </c>
      <c r="B30" s="171" t="s">
        <v>169</v>
      </c>
      <c r="C30" s="158"/>
      <c r="D30" s="158"/>
      <c r="E30" s="94"/>
    </row>
    <row r="31" spans="1:5" s="169" customFormat="1" ht="12" customHeight="1" thickBot="1">
      <c r="A31" s="14" t="s">
        <v>110</v>
      </c>
      <c r="B31" s="172" t="s">
        <v>170</v>
      </c>
      <c r="C31" s="160"/>
      <c r="D31" s="160"/>
      <c r="E31" s="96"/>
    </row>
    <row r="32" spans="1:5" s="169" customFormat="1" ht="12" customHeight="1" thickBot="1">
      <c r="A32" s="18" t="s">
        <v>111</v>
      </c>
      <c r="B32" s="19" t="s">
        <v>480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>
      <c r="A33" s="13" t="s">
        <v>171</v>
      </c>
      <c r="B33" s="170" t="s">
        <v>481</v>
      </c>
      <c r="C33" s="159">
        <f>+C34+C35+C36</f>
        <v>0</v>
      </c>
      <c r="D33" s="159">
        <f>+D34+D35+D36</f>
        <v>0</v>
      </c>
      <c r="E33" s="95">
        <f>+E34+E35+E36</f>
        <v>0</v>
      </c>
    </row>
    <row r="34" spans="1:5" s="169" customFormat="1" ht="12" customHeight="1">
      <c r="A34" s="12" t="s">
        <v>172</v>
      </c>
      <c r="B34" s="171" t="s">
        <v>482</v>
      </c>
      <c r="C34" s="158"/>
      <c r="D34" s="158"/>
      <c r="E34" s="94"/>
    </row>
    <row r="35" spans="1:5" s="169" customFormat="1" ht="12" customHeight="1">
      <c r="A35" s="12" t="s">
        <v>173</v>
      </c>
      <c r="B35" s="171" t="s">
        <v>483</v>
      </c>
      <c r="C35" s="158"/>
      <c r="D35" s="158"/>
      <c r="E35" s="94"/>
    </row>
    <row r="36" spans="1:5" s="169" customFormat="1" ht="12" customHeight="1">
      <c r="A36" s="12" t="s">
        <v>174</v>
      </c>
      <c r="B36" s="171" t="s">
        <v>484</v>
      </c>
      <c r="C36" s="158"/>
      <c r="D36" s="158"/>
      <c r="E36" s="94"/>
    </row>
    <row r="37" spans="1:5" s="169" customFormat="1" ht="12" customHeight="1">
      <c r="A37" s="12" t="s">
        <v>485</v>
      </c>
      <c r="B37" s="171" t="s">
        <v>175</v>
      </c>
      <c r="C37" s="158"/>
      <c r="D37" s="158"/>
      <c r="E37" s="94"/>
    </row>
    <row r="38" spans="1:5" s="169" customFormat="1" ht="12" customHeight="1">
      <c r="A38" s="12" t="s">
        <v>486</v>
      </c>
      <c r="B38" s="171" t="s">
        <v>176</v>
      </c>
      <c r="C38" s="158"/>
      <c r="D38" s="158"/>
      <c r="E38" s="94"/>
    </row>
    <row r="39" spans="1:5" s="169" customFormat="1" ht="12" customHeight="1" thickBot="1">
      <c r="A39" s="14" t="s">
        <v>487</v>
      </c>
      <c r="B39" s="317" t="s">
        <v>177</v>
      </c>
      <c r="C39" s="160"/>
      <c r="D39" s="160"/>
      <c r="E39" s="96"/>
    </row>
    <row r="40" spans="1:5" s="169" customFormat="1" ht="12" customHeight="1" thickBot="1">
      <c r="A40" s="18" t="s">
        <v>10</v>
      </c>
      <c r="B40" s="19" t="s">
        <v>331</v>
      </c>
      <c r="C40" s="157">
        <f>SUM(C41:C51)</f>
        <v>22617520</v>
      </c>
      <c r="D40" s="157">
        <f>SUM(D41:D51)</f>
        <v>27655608</v>
      </c>
      <c r="E40" s="93">
        <f>SUM(E41:E51)</f>
        <v>27415340</v>
      </c>
    </row>
    <row r="41" spans="1:5" s="169" customFormat="1" ht="12" customHeight="1">
      <c r="A41" s="13" t="s">
        <v>57</v>
      </c>
      <c r="B41" s="170" t="s">
        <v>180</v>
      </c>
      <c r="C41" s="159"/>
      <c r="D41" s="159"/>
      <c r="E41" s="95"/>
    </row>
    <row r="42" spans="1:5" s="169" customFormat="1" ht="12" customHeight="1">
      <c r="A42" s="12" t="s">
        <v>58</v>
      </c>
      <c r="B42" s="171" t="s">
        <v>181</v>
      </c>
      <c r="C42" s="158">
        <v>12033489</v>
      </c>
      <c r="D42" s="158">
        <v>12033489</v>
      </c>
      <c r="E42" s="94">
        <v>11461083</v>
      </c>
    </row>
    <row r="43" spans="1:5" s="169" customFormat="1" ht="12" customHeight="1">
      <c r="A43" s="12" t="s">
        <v>59</v>
      </c>
      <c r="B43" s="171" t="s">
        <v>182</v>
      </c>
      <c r="C43" s="158">
        <v>3600000</v>
      </c>
      <c r="D43" s="158">
        <v>3600000</v>
      </c>
      <c r="E43" s="94">
        <v>3806511</v>
      </c>
    </row>
    <row r="44" spans="1:5" s="169" customFormat="1" ht="12" customHeight="1">
      <c r="A44" s="12" t="s">
        <v>113</v>
      </c>
      <c r="B44" s="171" t="s">
        <v>183</v>
      </c>
      <c r="C44" s="158">
        <v>1656921</v>
      </c>
      <c r="D44" s="158">
        <v>3726743</v>
      </c>
      <c r="E44" s="94">
        <v>3726743</v>
      </c>
    </row>
    <row r="45" spans="1:5" s="169" customFormat="1" ht="12" customHeight="1">
      <c r="A45" s="12" t="s">
        <v>114</v>
      </c>
      <c r="B45" s="171" t="s">
        <v>184</v>
      </c>
      <c r="C45" s="158"/>
      <c r="D45" s="158"/>
      <c r="E45" s="94"/>
    </row>
    <row r="46" spans="1:5" s="169" customFormat="1" ht="12" customHeight="1">
      <c r="A46" s="12" t="s">
        <v>115</v>
      </c>
      <c r="B46" s="171" t="s">
        <v>185</v>
      </c>
      <c r="C46" s="158">
        <v>5327110</v>
      </c>
      <c r="D46" s="158">
        <v>5980704</v>
      </c>
      <c r="E46" s="94">
        <v>6076614</v>
      </c>
    </row>
    <row r="47" spans="1:5" s="169" customFormat="1" ht="12" customHeight="1">
      <c r="A47" s="12" t="s">
        <v>116</v>
      </c>
      <c r="B47" s="171" t="s">
        <v>186</v>
      </c>
      <c r="C47" s="158"/>
      <c r="D47" s="158"/>
      <c r="E47" s="94"/>
    </row>
    <row r="48" spans="1:5" s="169" customFormat="1" ht="12" customHeight="1">
      <c r="A48" s="12" t="s">
        <v>117</v>
      </c>
      <c r="B48" s="171" t="s">
        <v>488</v>
      </c>
      <c r="C48" s="158"/>
      <c r="D48" s="158"/>
      <c r="E48" s="94"/>
    </row>
    <row r="49" spans="1:5" s="169" customFormat="1" ht="12" customHeight="1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>
      <c r="A50" s="14" t="s">
        <v>179</v>
      </c>
      <c r="B50" s="172" t="s">
        <v>333</v>
      </c>
      <c r="C50" s="162"/>
      <c r="D50" s="162"/>
      <c r="E50" s="98"/>
    </row>
    <row r="51" spans="1:5" s="169" customFormat="1" ht="12" customHeight="1" thickBot="1">
      <c r="A51" s="14" t="s">
        <v>332</v>
      </c>
      <c r="B51" s="102" t="s">
        <v>189</v>
      </c>
      <c r="C51" s="162"/>
      <c r="D51" s="162">
        <v>2314672</v>
      </c>
      <c r="E51" s="98">
        <v>2344389</v>
      </c>
    </row>
    <row r="52" spans="1:5" s="169" customFormat="1" ht="12" customHeight="1" thickBot="1">
      <c r="A52" s="18" t="s">
        <v>11</v>
      </c>
      <c r="B52" s="19" t="s">
        <v>190</v>
      </c>
      <c r="C52" s="157">
        <f>SUM(C53:C57)</f>
        <v>11907010</v>
      </c>
      <c r="D52" s="157">
        <f>SUM(D53:D57)</f>
        <v>12314867</v>
      </c>
      <c r="E52" s="93">
        <f>SUM(E53:E57)</f>
        <v>12314867</v>
      </c>
    </row>
    <row r="53" spans="1:5" s="169" customFormat="1" ht="12" customHeight="1">
      <c r="A53" s="13" t="s">
        <v>60</v>
      </c>
      <c r="B53" s="170" t="s">
        <v>194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195</v>
      </c>
      <c r="C54" s="161">
        <v>11907010</v>
      </c>
      <c r="D54" s="161">
        <v>12300694</v>
      </c>
      <c r="E54" s="97">
        <v>12300694</v>
      </c>
    </row>
    <row r="55" spans="1:5" s="169" customFormat="1" ht="12" customHeight="1">
      <c r="A55" s="12" t="s">
        <v>191</v>
      </c>
      <c r="B55" s="171" t="s">
        <v>196</v>
      </c>
      <c r="C55" s="161"/>
      <c r="D55" s="161">
        <v>14173</v>
      </c>
      <c r="E55" s="97">
        <v>14173</v>
      </c>
    </row>
    <row r="56" spans="1:5" s="169" customFormat="1" ht="12" customHeight="1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>
      <c r="A58" s="18" t="s">
        <v>118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>
      <c r="A59" s="13" t="s">
        <v>62</v>
      </c>
      <c r="B59" s="170" t="s">
        <v>200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325</v>
      </c>
      <c r="C60" s="158"/>
      <c r="D60" s="158"/>
      <c r="E60" s="94"/>
    </row>
    <row r="61" spans="1:5" s="169" customFormat="1" ht="12" customHeight="1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>
      <c r="A64" s="13" t="s">
        <v>119</v>
      </c>
      <c r="B64" s="170" t="s">
        <v>207</v>
      </c>
      <c r="C64" s="161"/>
      <c r="D64" s="161"/>
      <c r="E64" s="97"/>
    </row>
    <row r="65" spans="1:5" s="169" customFormat="1" ht="12" customHeight="1">
      <c r="A65" s="12" t="s">
        <v>120</v>
      </c>
      <c r="B65" s="171" t="s">
        <v>326</v>
      </c>
      <c r="C65" s="161"/>
      <c r="D65" s="161"/>
      <c r="E65" s="97"/>
    </row>
    <row r="66" spans="1:5" s="169" customFormat="1" ht="12" customHeight="1">
      <c r="A66" s="12" t="s">
        <v>139</v>
      </c>
      <c r="B66" s="171" t="s">
        <v>208</v>
      </c>
      <c r="C66" s="161"/>
      <c r="D66" s="161"/>
      <c r="E66" s="97"/>
    </row>
    <row r="67" spans="1:5" s="169" customFormat="1" ht="12" customHeight="1" thickBot="1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>
      <c r="A68" s="221" t="s">
        <v>373</v>
      </c>
      <c r="B68" s="19" t="s">
        <v>210</v>
      </c>
      <c r="C68" s="163">
        <f>+C11+C18+C25+C32+C40+C52+C58+C63</f>
        <v>34524530</v>
      </c>
      <c r="D68" s="163">
        <f>+D11+D18+D25+D32+D40+D52+D58+D63</f>
        <v>39970475</v>
      </c>
      <c r="E68" s="199">
        <f>+E11+E18+E25+E32+E40+E52+E58+E63</f>
        <v>39730207</v>
      </c>
    </row>
    <row r="69" spans="1:5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>
      <c r="A72" s="14" t="s">
        <v>250</v>
      </c>
      <c r="B72" s="217" t="s">
        <v>358</v>
      </c>
      <c r="C72" s="161"/>
      <c r="D72" s="161"/>
      <c r="E72" s="97"/>
    </row>
    <row r="73" spans="1:5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97</v>
      </c>
      <c r="B74" s="354" t="s">
        <v>218</v>
      </c>
      <c r="C74" s="161"/>
      <c r="D74" s="161"/>
      <c r="E74" s="97"/>
    </row>
    <row r="75" spans="1:5" s="169" customFormat="1" ht="12" customHeight="1">
      <c r="A75" s="12" t="s">
        <v>98</v>
      </c>
      <c r="B75" s="354" t="s">
        <v>495</v>
      </c>
      <c r="C75" s="161"/>
      <c r="D75" s="161"/>
      <c r="E75" s="97"/>
    </row>
    <row r="76" spans="1:5" s="169" customFormat="1" ht="12" customHeight="1">
      <c r="A76" s="12" t="s">
        <v>241</v>
      </c>
      <c r="B76" s="354" t="s">
        <v>219</v>
      </c>
      <c r="C76" s="161"/>
      <c r="D76" s="161"/>
      <c r="E76" s="97"/>
    </row>
    <row r="77" spans="1:5" s="169" customFormat="1" ht="12" customHeight="1" thickBot="1">
      <c r="A77" s="14" t="s">
        <v>242</v>
      </c>
      <c r="B77" s="355" t="s">
        <v>496</v>
      </c>
      <c r="C77" s="161"/>
      <c r="D77" s="161"/>
      <c r="E77" s="97"/>
    </row>
    <row r="78" spans="1:5" s="169" customFormat="1" ht="12" customHeight="1" thickBot="1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>
      <c r="A84" s="14" t="s">
        <v>247</v>
      </c>
      <c r="B84" s="102" t="s">
        <v>497</v>
      </c>
      <c r="C84" s="161"/>
      <c r="D84" s="161"/>
      <c r="E84" s="97"/>
    </row>
    <row r="85" spans="1:5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>
      <c r="A90" s="211" t="s">
        <v>237</v>
      </c>
      <c r="B90" s="100" t="s">
        <v>372</v>
      </c>
      <c r="C90" s="213"/>
      <c r="D90" s="213"/>
      <c r="E90" s="214"/>
    </row>
    <row r="91" spans="1:5" s="169" customFormat="1" ht="13.5" customHeight="1" thickBot="1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>
      <c r="A92" s="211" t="s">
        <v>251</v>
      </c>
      <c r="B92" s="177" t="s">
        <v>375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>
      <c r="A93" s="212" t="s">
        <v>374</v>
      </c>
      <c r="B93" s="178" t="s">
        <v>376</v>
      </c>
      <c r="C93" s="163">
        <f>+C68+C92</f>
        <v>34524530</v>
      </c>
      <c r="D93" s="163">
        <f>+D68+D92</f>
        <v>39970475</v>
      </c>
      <c r="E93" s="199">
        <f>+E68+E92</f>
        <v>39730207</v>
      </c>
    </row>
    <row r="94" spans="1:3" s="169" customFormat="1" ht="15" customHeight="1">
      <c r="A94" s="3"/>
      <c r="B94" s="4"/>
      <c r="C94" s="104"/>
    </row>
    <row r="95" spans="1:5" ht="16.5" customHeight="1">
      <c r="A95" s="754" t="s">
        <v>34</v>
      </c>
      <c r="B95" s="754"/>
      <c r="C95" s="754"/>
      <c r="D95" s="754"/>
      <c r="E95" s="754"/>
    </row>
    <row r="96" spans="1:5" s="179" customFormat="1" ht="16.5" customHeight="1" thickBot="1">
      <c r="A96" s="755" t="s">
        <v>100</v>
      </c>
      <c r="B96" s="755"/>
      <c r="C96" s="61"/>
      <c r="E96" s="61" t="str">
        <f>E7</f>
        <v> Forintban!</v>
      </c>
    </row>
    <row r="97" spans="1:5" ht="1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</row>
    <row r="98" spans="1:5" ht="23.2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</row>
    <row r="99" spans="1:5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</row>
    <row r="100" spans="1:5" ht="12" customHeight="1" thickBot="1">
      <c r="A100" s="20" t="s">
        <v>6</v>
      </c>
      <c r="B100" s="24" t="s">
        <v>334</v>
      </c>
      <c r="C100" s="156">
        <f>C101+C102+C103+C104+C105+C118</f>
        <v>15519329</v>
      </c>
      <c r="D100" s="156">
        <f>D101+D102+D103+D104+D105+D118</f>
        <v>18462969</v>
      </c>
      <c r="E100" s="224">
        <f>E101+E102+E103+E104+E105+E118</f>
        <v>12180205</v>
      </c>
    </row>
    <row r="101" spans="1:5" ht="12" customHeight="1">
      <c r="A101" s="15" t="s">
        <v>64</v>
      </c>
      <c r="B101" s="8" t="s">
        <v>35</v>
      </c>
      <c r="C101" s="231">
        <v>3665000</v>
      </c>
      <c r="D101" s="231">
        <v>4418223</v>
      </c>
      <c r="E101" s="225">
        <v>1178062</v>
      </c>
    </row>
    <row r="102" spans="1:5" ht="12" customHeight="1">
      <c r="A102" s="12" t="s">
        <v>65</v>
      </c>
      <c r="B102" s="6" t="s">
        <v>121</v>
      </c>
      <c r="C102" s="158">
        <v>714675</v>
      </c>
      <c r="D102" s="158">
        <v>1045579</v>
      </c>
      <c r="E102" s="94">
        <v>406881</v>
      </c>
    </row>
    <row r="103" spans="1:5" ht="12" customHeight="1">
      <c r="A103" s="12" t="s">
        <v>66</v>
      </c>
      <c r="B103" s="6" t="s">
        <v>92</v>
      </c>
      <c r="C103" s="160">
        <v>11139654</v>
      </c>
      <c r="D103" s="160">
        <v>12957167</v>
      </c>
      <c r="E103" s="96">
        <v>10553262</v>
      </c>
    </row>
    <row r="104" spans="1:5" ht="12" customHeight="1">
      <c r="A104" s="12" t="s">
        <v>67</v>
      </c>
      <c r="B104" s="9" t="s">
        <v>122</v>
      </c>
      <c r="C104" s="160"/>
      <c r="D104" s="160"/>
      <c r="E104" s="96"/>
    </row>
    <row r="105" spans="1:5" ht="12" customHeight="1">
      <c r="A105" s="12" t="s">
        <v>76</v>
      </c>
      <c r="B105" s="17" t="s">
        <v>123</v>
      </c>
      <c r="C105" s="160"/>
      <c r="D105" s="160">
        <v>42000</v>
      </c>
      <c r="E105" s="96">
        <v>42000</v>
      </c>
    </row>
    <row r="106" spans="1:5" ht="12" customHeight="1">
      <c r="A106" s="12" t="s">
        <v>68</v>
      </c>
      <c r="B106" s="6" t="s">
        <v>339</v>
      </c>
      <c r="C106" s="160"/>
      <c r="D106" s="160"/>
      <c r="E106" s="96"/>
    </row>
    <row r="107" spans="1:5" ht="12" customHeight="1">
      <c r="A107" s="12" t="s">
        <v>69</v>
      </c>
      <c r="B107" s="65" t="s">
        <v>338</v>
      </c>
      <c r="C107" s="160"/>
      <c r="D107" s="160"/>
      <c r="E107" s="96"/>
    </row>
    <row r="108" spans="1:5" ht="12" customHeight="1">
      <c r="A108" s="12" t="s">
        <v>77</v>
      </c>
      <c r="B108" s="65" t="s">
        <v>337</v>
      </c>
      <c r="C108" s="160"/>
      <c r="D108" s="160"/>
      <c r="E108" s="96"/>
    </row>
    <row r="109" spans="1:5" ht="12" customHeight="1">
      <c r="A109" s="12" t="s">
        <v>78</v>
      </c>
      <c r="B109" s="63" t="s">
        <v>254</v>
      </c>
      <c r="C109" s="160"/>
      <c r="D109" s="160"/>
      <c r="E109" s="96"/>
    </row>
    <row r="110" spans="1:5" ht="12" customHeight="1">
      <c r="A110" s="12" t="s">
        <v>79</v>
      </c>
      <c r="B110" s="64" t="s">
        <v>255</v>
      </c>
      <c r="C110" s="160"/>
      <c r="D110" s="160"/>
      <c r="E110" s="96"/>
    </row>
    <row r="111" spans="1:5" ht="12" customHeight="1">
      <c r="A111" s="12" t="s">
        <v>80</v>
      </c>
      <c r="B111" s="64" t="s">
        <v>256</v>
      </c>
      <c r="C111" s="160"/>
      <c r="D111" s="160"/>
      <c r="E111" s="96"/>
    </row>
    <row r="112" spans="1:5" ht="12" customHeight="1">
      <c r="A112" s="12" t="s">
        <v>82</v>
      </c>
      <c r="B112" s="63" t="s">
        <v>257</v>
      </c>
      <c r="C112" s="160"/>
      <c r="D112" s="160"/>
      <c r="E112" s="96"/>
    </row>
    <row r="113" spans="1:5" ht="12" customHeight="1">
      <c r="A113" s="12" t="s">
        <v>124</v>
      </c>
      <c r="B113" s="63" t="s">
        <v>258</v>
      </c>
      <c r="C113" s="160"/>
      <c r="D113" s="160"/>
      <c r="E113" s="96"/>
    </row>
    <row r="114" spans="1:5" ht="12" customHeight="1">
      <c r="A114" s="12" t="s">
        <v>252</v>
      </c>
      <c r="B114" s="64" t="s">
        <v>259</v>
      </c>
      <c r="C114" s="160"/>
      <c r="D114" s="160">
        <v>42000</v>
      </c>
      <c r="E114" s="96">
        <v>42000</v>
      </c>
    </row>
    <row r="115" spans="1:5" ht="12" customHeight="1">
      <c r="A115" s="11" t="s">
        <v>253</v>
      </c>
      <c r="B115" s="65" t="s">
        <v>260</v>
      </c>
      <c r="C115" s="160"/>
      <c r="D115" s="160"/>
      <c r="E115" s="96"/>
    </row>
    <row r="116" spans="1:5" ht="12" customHeight="1">
      <c r="A116" s="12" t="s">
        <v>335</v>
      </c>
      <c r="B116" s="65" t="s">
        <v>261</v>
      </c>
      <c r="C116" s="160"/>
      <c r="D116" s="160"/>
      <c r="E116" s="96"/>
    </row>
    <row r="117" spans="1:5" ht="12" customHeight="1">
      <c r="A117" s="14" t="s">
        <v>336</v>
      </c>
      <c r="B117" s="65" t="s">
        <v>262</v>
      </c>
      <c r="C117" s="160"/>
      <c r="D117" s="160"/>
      <c r="E117" s="96"/>
    </row>
    <row r="118" spans="1:5" ht="12" customHeight="1">
      <c r="A118" s="12" t="s">
        <v>340</v>
      </c>
      <c r="B118" s="9" t="s">
        <v>36</v>
      </c>
      <c r="C118" s="158"/>
      <c r="D118" s="158"/>
      <c r="E118" s="94"/>
    </row>
    <row r="119" spans="1:5" ht="12" customHeight="1">
      <c r="A119" s="12" t="s">
        <v>341</v>
      </c>
      <c r="B119" s="6" t="s">
        <v>343</v>
      </c>
      <c r="C119" s="158"/>
      <c r="D119" s="158"/>
      <c r="E119" s="94"/>
    </row>
    <row r="120" spans="1:5" ht="12" customHeight="1" thickBot="1">
      <c r="A120" s="16" t="s">
        <v>342</v>
      </c>
      <c r="B120" s="220" t="s">
        <v>344</v>
      </c>
      <c r="C120" s="232"/>
      <c r="D120" s="232"/>
      <c r="E120" s="226"/>
    </row>
    <row r="121" spans="1:5" ht="12" customHeight="1" thickBot="1">
      <c r="A121" s="218" t="s">
        <v>7</v>
      </c>
      <c r="B121" s="219" t="s">
        <v>263</v>
      </c>
      <c r="C121" s="233">
        <f>+C122+C124+C126</f>
        <v>4500000</v>
      </c>
      <c r="D121" s="157">
        <f>+D122+D124+D126</f>
        <v>2094960</v>
      </c>
      <c r="E121" s="227">
        <f>+E122+E124+E126</f>
        <v>1861660</v>
      </c>
    </row>
    <row r="122" spans="1:5" ht="12" customHeight="1">
      <c r="A122" s="13" t="s">
        <v>70</v>
      </c>
      <c r="B122" s="6" t="s">
        <v>138</v>
      </c>
      <c r="C122" s="159"/>
      <c r="D122" s="242"/>
      <c r="E122" s="95"/>
    </row>
    <row r="123" spans="1:5" ht="12" customHeight="1">
      <c r="A123" s="13" t="s">
        <v>71</v>
      </c>
      <c r="B123" s="10" t="s">
        <v>267</v>
      </c>
      <c r="C123" s="159"/>
      <c r="D123" s="242"/>
      <c r="E123" s="95"/>
    </row>
    <row r="124" spans="1:5" ht="12" customHeight="1">
      <c r="A124" s="13" t="s">
        <v>72</v>
      </c>
      <c r="B124" s="10" t="s">
        <v>125</v>
      </c>
      <c r="C124" s="158"/>
      <c r="D124" s="243"/>
      <c r="E124" s="94"/>
    </row>
    <row r="125" spans="1:5" ht="12" customHeight="1">
      <c r="A125" s="13" t="s">
        <v>73</v>
      </c>
      <c r="B125" s="10" t="s">
        <v>268</v>
      </c>
      <c r="C125" s="158">
        <v>0</v>
      </c>
      <c r="D125" s="243"/>
      <c r="E125" s="94"/>
    </row>
    <row r="126" spans="1:5" ht="12" customHeight="1">
      <c r="A126" s="13" t="s">
        <v>74</v>
      </c>
      <c r="B126" s="102" t="s">
        <v>140</v>
      </c>
      <c r="C126" s="158">
        <v>4500000</v>
      </c>
      <c r="D126" s="243">
        <v>2094960</v>
      </c>
      <c r="E126" s="94">
        <v>1861660</v>
      </c>
    </row>
    <row r="127" spans="1:5" ht="12" customHeight="1">
      <c r="A127" s="13" t="s">
        <v>81</v>
      </c>
      <c r="B127" s="101" t="s">
        <v>327</v>
      </c>
      <c r="C127" s="158"/>
      <c r="D127" s="243"/>
      <c r="E127" s="94"/>
    </row>
    <row r="128" spans="1:5" ht="12" customHeight="1">
      <c r="A128" s="13" t="s">
        <v>83</v>
      </c>
      <c r="B128" s="166" t="s">
        <v>273</v>
      </c>
      <c r="C128" s="158"/>
      <c r="D128" s="243"/>
      <c r="E128" s="94"/>
    </row>
    <row r="129" spans="1:5" ht="15">
      <c r="A129" s="13" t="s">
        <v>126</v>
      </c>
      <c r="B129" s="64" t="s">
        <v>256</v>
      </c>
      <c r="C129" s="158"/>
      <c r="D129" s="243"/>
      <c r="E129" s="94"/>
    </row>
    <row r="130" spans="1:5" ht="12" customHeight="1">
      <c r="A130" s="13" t="s">
        <v>127</v>
      </c>
      <c r="B130" s="64" t="s">
        <v>272</v>
      </c>
      <c r="C130" s="158"/>
      <c r="D130" s="243"/>
      <c r="E130" s="94"/>
    </row>
    <row r="131" spans="1:5" ht="12" customHeight="1">
      <c r="A131" s="13" t="s">
        <v>128</v>
      </c>
      <c r="B131" s="64" t="s">
        <v>271</v>
      </c>
      <c r="C131" s="158"/>
      <c r="D131" s="243"/>
      <c r="E131" s="94"/>
    </row>
    <row r="132" spans="1:5" ht="12" customHeight="1">
      <c r="A132" s="13" t="s">
        <v>264</v>
      </c>
      <c r="B132" s="64" t="s">
        <v>259</v>
      </c>
      <c r="C132" s="158">
        <v>2000000</v>
      </c>
      <c r="D132" s="243">
        <v>1845000</v>
      </c>
      <c r="E132" s="94">
        <v>1611700</v>
      </c>
    </row>
    <row r="133" spans="1:5" ht="12" customHeight="1">
      <c r="A133" s="13" t="s">
        <v>265</v>
      </c>
      <c r="B133" s="64" t="s">
        <v>270</v>
      </c>
      <c r="C133" s="158"/>
      <c r="D133" s="243"/>
      <c r="E133" s="94"/>
    </row>
    <row r="134" spans="1:5" ht="15.75" thickBot="1">
      <c r="A134" s="11" t="s">
        <v>266</v>
      </c>
      <c r="B134" s="64" t="s">
        <v>269</v>
      </c>
      <c r="C134" s="160">
        <v>2500000</v>
      </c>
      <c r="D134" s="244">
        <v>249960</v>
      </c>
      <c r="E134" s="96">
        <v>249960</v>
      </c>
    </row>
    <row r="135" spans="1:5" ht="12" customHeight="1" thickBot="1">
      <c r="A135" s="18" t="s">
        <v>8</v>
      </c>
      <c r="B135" s="57" t="s">
        <v>345</v>
      </c>
      <c r="C135" s="157">
        <f>+C100+C121</f>
        <v>20019329</v>
      </c>
      <c r="D135" s="241">
        <f>+D100+D121</f>
        <v>20557929</v>
      </c>
      <c r="E135" s="93">
        <f>+E100+E121</f>
        <v>14041865</v>
      </c>
    </row>
    <row r="136" spans="1:5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</row>
    <row r="137" spans="1:5" ht="12" customHeight="1">
      <c r="A137" s="13" t="s">
        <v>171</v>
      </c>
      <c r="B137" s="10" t="s">
        <v>353</v>
      </c>
      <c r="C137" s="158"/>
      <c r="D137" s="243"/>
      <c r="E137" s="94"/>
    </row>
    <row r="138" spans="1:5" ht="12" customHeight="1">
      <c r="A138" s="13" t="s">
        <v>172</v>
      </c>
      <c r="B138" s="10" t="s">
        <v>354</v>
      </c>
      <c r="C138" s="158"/>
      <c r="D138" s="243"/>
      <c r="E138" s="94"/>
    </row>
    <row r="139" spans="1:5" ht="12" customHeight="1" thickBot="1">
      <c r="A139" s="11" t="s">
        <v>173</v>
      </c>
      <c r="B139" s="10" t="s">
        <v>355</v>
      </c>
      <c r="C139" s="158"/>
      <c r="D139" s="243"/>
      <c r="E139" s="94"/>
    </row>
    <row r="140" spans="1:5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356</v>
      </c>
      <c r="C141" s="158"/>
      <c r="D141" s="243"/>
      <c r="E141" s="94"/>
    </row>
    <row r="142" spans="1:5" ht="12" customHeight="1">
      <c r="A142" s="13" t="s">
        <v>58</v>
      </c>
      <c r="B142" s="7" t="s">
        <v>348</v>
      </c>
      <c r="C142" s="158"/>
      <c r="D142" s="243"/>
      <c r="E142" s="94"/>
    </row>
    <row r="143" spans="1:5" ht="12" customHeight="1">
      <c r="A143" s="13" t="s">
        <v>59</v>
      </c>
      <c r="B143" s="7" t="s">
        <v>349</v>
      </c>
      <c r="C143" s="158"/>
      <c r="D143" s="243"/>
      <c r="E143" s="94"/>
    </row>
    <row r="144" spans="1:5" ht="12" customHeight="1">
      <c r="A144" s="13" t="s">
        <v>113</v>
      </c>
      <c r="B144" s="7" t="s">
        <v>350</v>
      </c>
      <c r="C144" s="158"/>
      <c r="D144" s="243"/>
      <c r="E144" s="94"/>
    </row>
    <row r="145" spans="1:5" ht="12" customHeight="1">
      <c r="A145" s="13" t="s">
        <v>114</v>
      </c>
      <c r="B145" s="7" t="s">
        <v>351</v>
      </c>
      <c r="C145" s="158"/>
      <c r="D145" s="243"/>
      <c r="E145" s="94"/>
    </row>
    <row r="146" spans="1:5" ht="12" customHeight="1" thickBot="1">
      <c r="A146" s="16" t="s">
        <v>115</v>
      </c>
      <c r="B146" s="366" t="s">
        <v>352</v>
      </c>
      <c r="C146" s="232"/>
      <c r="D146" s="308"/>
      <c r="E146" s="226"/>
    </row>
    <row r="147" spans="1:5" ht="12" customHeight="1" thickBot="1">
      <c r="A147" s="18" t="s">
        <v>11</v>
      </c>
      <c r="B147" s="57" t="s">
        <v>360</v>
      </c>
      <c r="C147" s="163">
        <f>+C148+C149+C150+C151</f>
        <v>0</v>
      </c>
      <c r="D147" s="245">
        <f>+D148+D149+D150+D151</f>
        <v>0</v>
      </c>
      <c r="E147" s="199">
        <f>+E148+E149+E150+E151</f>
        <v>0</v>
      </c>
    </row>
    <row r="148" spans="1:5" ht="12" customHeight="1">
      <c r="A148" s="13" t="s">
        <v>60</v>
      </c>
      <c r="B148" s="7" t="s">
        <v>274</v>
      </c>
      <c r="C148" s="158"/>
      <c r="D148" s="243"/>
      <c r="E148" s="94"/>
    </row>
    <row r="149" spans="1:5" ht="12" customHeight="1">
      <c r="A149" s="13" t="s">
        <v>61</v>
      </c>
      <c r="B149" s="7" t="s">
        <v>275</v>
      </c>
      <c r="C149" s="158"/>
      <c r="D149" s="243"/>
      <c r="E149" s="94"/>
    </row>
    <row r="150" spans="1:5" ht="12" customHeight="1">
      <c r="A150" s="13" t="s">
        <v>191</v>
      </c>
      <c r="B150" s="7" t="s">
        <v>361</v>
      </c>
      <c r="C150" s="158"/>
      <c r="D150" s="243"/>
      <c r="E150" s="94"/>
    </row>
    <row r="151" spans="1:5" ht="12" customHeight="1" thickBot="1">
      <c r="A151" s="11" t="s">
        <v>192</v>
      </c>
      <c r="B151" s="5" t="s">
        <v>291</v>
      </c>
      <c r="C151" s="158"/>
      <c r="D151" s="243"/>
      <c r="E151" s="94"/>
    </row>
    <row r="152" spans="1:5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</row>
    <row r="153" spans="1:5" ht="12" customHeight="1">
      <c r="A153" s="13" t="s">
        <v>62</v>
      </c>
      <c r="B153" s="7" t="s">
        <v>357</v>
      </c>
      <c r="C153" s="158"/>
      <c r="D153" s="243"/>
      <c r="E153" s="94"/>
    </row>
    <row r="154" spans="1:5" ht="12" customHeight="1">
      <c r="A154" s="13" t="s">
        <v>63</v>
      </c>
      <c r="B154" s="7" t="s">
        <v>364</v>
      </c>
      <c r="C154" s="158"/>
      <c r="D154" s="243"/>
      <c r="E154" s="94"/>
    </row>
    <row r="155" spans="1:5" ht="12" customHeight="1">
      <c r="A155" s="13" t="s">
        <v>203</v>
      </c>
      <c r="B155" s="7" t="s">
        <v>359</v>
      </c>
      <c r="C155" s="158"/>
      <c r="D155" s="243"/>
      <c r="E155" s="94"/>
    </row>
    <row r="156" spans="1:5" ht="12" customHeight="1">
      <c r="A156" s="13" t="s">
        <v>204</v>
      </c>
      <c r="B156" s="7" t="s">
        <v>365</v>
      </c>
      <c r="C156" s="158"/>
      <c r="D156" s="243"/>
      <c r="E156" s="94"/>
    </row>
    <row r="157" spans="1:5" ht="12" customHeight="1" thickBot="1">
      <c r="A157" s="13" t="s">
        <v>363</v>
      </c>
      <c r="B157" s="7" t="s">
        <v>366</v>
      </c>
      <c r="C157" s="158"/>
      <c r="D157" s="243"/>
      <c r="E157" s="94"/>
    </row>
    <row r="158" spans="1:5" ht="12" customHeight="1" thickBot="1">
      <c r="A158" s="18" t="s">
        <v>13</v>
      </c>
      <c r="B158" s="57" t="s">
        <v>367</v>
      </c>
      <c r="C158" s="235"/>
      <c r="D158" s="247"/>
      <c r="E158" s="229"/>
    </row>
    <row r="159" spans="1:5" ht="12" customHeight="1" thickBot="1">
      <c r="A159" s="18" t="s">
        <v>14</v>
      </c>
      <c r="B159" s="57" t="s">
        <v>368</v>
      </c>
      <c r="C159" s="235"/>
      <c r="D159" s="247"/>
      <c r="E159" s="229"/>
    </row>
    <row r="160" spans="1:6" ht="15" customHeight="1" thickBot="1">
      <c r="A160" s="18" t="s">
        <v>15</v>
      </c>
      <c r="B160" s="57" t="s">
        <v>370</v>
      </c>
      <c r="C160" s="236">
        <f>+C136+C140+C147+C152+C158+C159</f>
        <v>0</v>
      </c>
      <c r="D160" s="248">
        <f>+D136+D140+D147+D152+D158+D159</f>
        <v>0</v>
      </c>
      <c r="E160" s="230">
        <f>+E136+E140+E147+E152+E158+E159</f>
        <v>0</v>
      </c>
      <c r="F160" s="180"/>
    </row>
    <row r="161" spans="1:5" s="169" customFormat="1" ht="12.75" customHeight="1" thickBot="1">
      <c r="A161" s="103" t="s">
        <v>16</v>
      </c>
      <c r="B161" s="144" t="s">
        <v>369</v>
      </c>
      <c r="C161" s="236">
        <f>+C135+C160</f>
        <v>20019329</v>
      </c>
      <c r="D161" s="248">
        <f>+D135+D160</f>
        <v>20557929</v>
      </c>
      <c r="E161" s="230">
        <f>+E135+E160</f>
        <v>14041865</v>
      </c>
    </row>
    <row r="162" spans="3:4" ht="15">
      <c r="C162" s="603">
        <f>C93-C161</f>
        <v>14505201</v>
      </c>
      <c r="D162" s="603">
        <f>D93-D161</f>
        <v>19412546</v>
      </c>
    </row>
    <row r="163" spans="1:5" ht="15">
      <c r="A163" s="753" t="s">
        <v>276</v>
      </c>
      <c r="B163" s="753"/>
      <c r="C163" s="753"/>
      <c r="D163" s="753"/>
      <c r="E163" s="753"/>
    </row>
    <row r="164" spans="1:5" ht="15" customHeight="1" thickBot="1">
      <c r="A164" s="745" t="s">
        <v>101</v>
      </c>
      <c r="B164" s="745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371</v>
      </c>
      <c r="C165" s="240">
        <f>+C68-C135</f>
        <v>14505201</v>
      </c>
      <c r="D165" s="157">
        <f>+D68-D135</f>
        <v>19412546</v>
      </c>
      <c r="E165" s="93">
        <f>+E68-E135</f>
        <v>25688342</v>
      </c>
    </row>
    <row r="166" spans="1:5" ht="32.25" customHeight="1" thickBot="1">
      <c r="A166" s="18" t="s">
        <v>7</v>
      </c>
      <c r="B166" s="23" t="s">
        <v>377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54">
      <selection activeCell="C8" sqref="C8:E8"/>
    </sheetView>
  </sheetViews>
  <sheetFormatPr defaultColWidth="9.375" defaultRowHeight="12.75"/>
  <cols>
    <col min="1" max="1" width="9.50390625" style="145" customWidth="1"/>
    <col min="2" max="2" width="65.75390625" style="145" customWidth="1"/>
    <col min="3" max="3" width="17.75390625" style="146" customWidth="1"/>
    <col min="4" max="5" width="17.75390625" style="167" customWidth="1"/>
    <col min="6" max="16384" width="9.375" style="167" customWidth="1"/>
  </cols>
  <sheetData>
    <row r="1" spans="1:5" ht="15">
      <c r="A1" s="367"/>
      <c r="B1" s="756" t="str">
        <f>CONCATENATE("1.4. melléklet ",Z_ALAPADATOK!A7," ",Z_ALAPADATOK!B7," ",Z_ALAPADATOK!C7," ",Z_ALAPADATOK!D7," ",Z_ALAPADATOK!E7," ",Z_ALAPADATOK!F7," ",Z_ALAPADATOK!G7," ",Z_ALAPADATOK!H7)</f>
        <v>1.4. melléklet a … / 2020. ( … ) önkormányzati rendelethez</v>
      </c>
      <c r="C1" s="757"/>
      <c r="D1" s="757"/>
      <c r="E1" s="757"/>
    </row>
    <row r="2" spans="1:5" ht="15">
      <c r="A2" s="758" t="str">
        <f>CONCATENATE(Z_ALAPADATOK!A3)</f>
        <v>Balatonvilágos Község Önkormányzata</v>
      </c>
      <c r="B2" s="759"/>
      <c r="C2" s="759"/>
      <c r="D2" s="759"/>
      <c r="E2" s="759"/>
    </row>
    <row r="3" spans="1:5" ht="15">
      <c r="A3" s="763" t="s">
        <v>806</v>
      </c>
      <c r="B3" s="763"/>
      <c r="C3" s="763"/>
      <c r="D3" s="763"/>
      <c r="E3" s="763"/>
    </row>
    <row r="4" spans="1:5" ht="17.25" customHeight="1">
      <c r="A4" s="763" t="s">
        <v>798</v>
      </c>
      <c r="B4" s="763"/>
      <c r="C4" s="763"/>
      <c r="D4" s="763"/>
      <c r="E4" s="763"/>
    </row>
    <row r="5" spans="1:5" ht="15">
      <c r="A5" s="367"/>
      <c r="B5" s="367"/>
      <c r="C5" s="368"/>
      <c r="D5" s="369"/>
      <c r="E5" s="369"/>
    </row>
    <row r="6" spans="1:5" ht="15.75" customHeight="1">
      <c r="A6" s="761" t="s">
        <v>3</v>
      </c>
      <c r="B6" s="761"/>
      <c r="C6" s="761"/>
      <c r="D6" s="761"/>
      <c r="E6" s="761"/>
    </row>
    <row r="7" spans="1:5" ht="15.75" customHeight="1" thickBot="1">
      <c r="A7" s="762" t="s">
        <v>99</v>
      </c>
      <c r="B7" s="762"/>
      <c r="C7" s="370"/>
      <c r="D7" s="369"/>
      <c r="E7" s="370" t="str">
        <f>CONCATENATE('Z_1.3.sz.mell.'!E7)</f>
        <v> Forintban!</v>
      </c>
    </row>
    <row r="8" spans="1:5" ht="1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</row>
    <row r="9" spans="1:5" ht="23.25" thickBot="1">
      <c r="A9" s="747"/>
      <c r="B9" s="749"/>
      <c r="C9" s="238" t="s">
        <v>414</v>
      </c>
      <c r="D9" s="237" t="s">
        <v>415</v>
      </c>
      <c r="E9" s="356" t="str">
        <f>CONCATENATE('Z_1.3.sz.mell.'!E9)</f>
        <v>2019. XII. 31.
teljesítés</v>
      </c>
    </row>
    <row r="10" spans="1:5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</row>
    <row r="11" spans="1:5" s="169" customFormat="1" ht="12" customHeight="1" thickBot="1">
      <c r="A11" s="18" t="s">
        <v>6</v>
      </c>
      <c r="B11" s="19" t="s">
        <v>156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>
      <c r="A12" s="13" t="s">
        <v>64</v>
      </c>
      <c r="B12" s="170" t="s">
        <v>157</v>
      </c>
      <c r="C12" s="159"/>
      <c r="D12" s="159"/>
      <c r="E12" s="95"/>
    </row>
    <row r="13" spans="1:5" s="169" customFormat="1" ht="12" customHeight="1">
      <c r="A13" s="12" t="s">
        <v>65</v>
      </c>
      <c r="B13" s="171" t="s">
        <v>158</v>
      </c>
      <c r="C13" s="158"/>
      <c r="D13" s="158"/>
      <c r="E13" s="94"/>
    </row>
    <row r="14" spans="1:5" s="169" customFormat="1" ht="12" customHeight="1">
      <c r="A14" s="12" t="s">
        <v>66</v>
      </c>
      <c r="B14" s="171" t="s">
        <v>159</v>
      </c>
      <c r="C14" s="158"/>
      <c r="D14" s="158"/>
      <c r="E14" s="94"/>
    </row>
    <row r="15" spans="1:5" s="169" customFormat="1" ht="12" customHeight="1">
      <c r="A15" s="12" t="s">
        <v>67</v>
      </c>
      <c r="B15" s="171" t="s">
        <v>160</v>
      </c>
      <c r="C15" s="158"/>
      <c r="D15" s="158"/>
      <c r="E15" s="94"/>
    </row>
    <row r="16" spans="1:5" s="169" customFormat="1" ht="12" customHeight="1">
      <c r="A16" s="12" t="s">
        <v>96</v>
      </c>
      <c r="B16" s="101" t="s">
        <v>329</v>
      </c>
      <c r="C16" s="158"/>
      <c r="D16" s="158"/>
      <c r="E16" s="94"/>
    </row>
    <row r="17" spans="1:5" s="169" customFormat="1" ht="12" customHeight="1" thickBot="1">
      <c r="A17" s="14" t="s">
        <v>68</v>
      </c>
      <c r="B17" s="102" t="s">
        <v>330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161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>
      <c r="A19" s="13" t="s">
        <v>70</v>
      </c>
      <c r="B19" s="170" t="s">
        <v>162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163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321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322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164</v>
      </c>
      <c r="C23" s="158"/>
      <c r="D23" s="158"/>
      <c r="E23" s="94"/>
    </row>
    <row r="24" spans="1:5" s="169" customFormat="1" ht="12" customHeight="1" thickBot="1">
      <c r="A24" s="14" t="s">
        <v>81</v>
      </c>
      <c r="B24" s="102" t="s">
        <v>165</v>
      </c>
      <c r="C24" s="160"/>
      <c r="D24" s="160"/>
      <c r="E24" s="96"/>
    </row>
    <row r="25" spans="1:5" s="169" customFormat="1" ht="12" customHeight="1" thickBot="1">
      <c r="A25" s="18" t="s">
        <v>8</v>
      </c>
      <c r="B25" s="19" t="s">
        <v>166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>
      <c r="A26" s="13" t="s">
        <v>53</v>
      </c>
      <c r="B26" s="170" t="s">
        <v>167</v>
      </c>
      <c r="C26" s="159"/>
      <c r="D26" s="159"/>
      <c r="E26" s="95"/>
    </row>
    <row r="27" spans="1:5" s="169" customFormat="1" ht="12" customHeight="1">
      <c r="A27" s="12" t="s">
        <v>54</v>
      </c>
      <c r="B27" s="171" t="s">
        <v>168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323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324</v>
      </c>
      <c r="C29" s="158"/>
      <c r="D29" s="158"/>
      <c r="E29" s="94"/>
    </row>
    <row r="30" spans="1:5" s="169" customFormat="1" ht="12" customHeight="1">
      <c r="A30" s="12" t="s">
        <v>109</v>
      </c>
      <c r="B30" s="171" t="s">
        <v>169</v>
      </c>
      <c r="C30" s="158"/>
      <c r="D30" s="158"/>
      <c r="E30" s="94"/>
    </row>
    <row r="31" spans="1:5" s="169" customFormat="1" ht="12" customHeight="1" thickBot="1">
      <c r="A31" s="14" t="s">
        <v>110</v>
      </c>
      <c r="B31" s="172" t="s">
        <v>170</v>
      </c>
      <c r="C31" s="160"/>
      <c r="D31" s="160"/>
      <c r="E31" s="96"/>
    </row>
    <row r="32" spans="1:5" s="169" customFormat="1" ht="12" customHeight="1" thickBot="1">
      <c r="A32" s="18" t="s">
        <v>111</v>
      </c>
      <c r="B32" s="19" t="s">
        <v>480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>
      <c r="A33" s="13" t="s">
        <v>171</v>
      </c>
      <c r="B33" s="170" t="s">
        <v>481</v>
      </c>
      <c r="C33" s="159">
        <f>+C34+C35+C36</f>
        <v>0</v>
      </c>
      <c r="D33" s="159">
        <f>+D34+D35+D36</f>
        <v>0</v>
      </c>
      <c r="E33" s="95">
        <f>+E34+E35+E36</f>
        <v>0</v>
      </c>
    </row>
    <row r="34" spans="1:5" s="169" customFormat="1" ht="12" customHeight="1">
      <c r="A34" s="12" t="s">
        <v>172</v>
      </c>
      <c r="B34" s="171" t="s">
        <v>482</v>
      </c>
      <c r="C34" s="158"/>
      <c r="D34" s="158"/>
      <c r="E34" s="94"/>
    </row>
    <row r="35" spans="1:5" s="169" customFormat="1" ht="12" customHeight="1">
      <c r="A35" s="12" t="s">
        <v>173</v>
      </c>
      <c r="B35" s="171" t="s">
        <v>483</v>
      </c>
      <c r="C35" s="158"/>
      <c r="D35" s="158"/>
      <c r="E35" s="94"/>
    </row>
    <row r="36" spans="1:5" s="169" customFormat="1" ht="12" customHeight="1">
      <c r="A36" s="12" t="s">
        <v>174</v>
      </c>
      <c r="B36" s="171" t="s">
        <v>484</v>
      </c>
      <c r="C36" s="158"/>
      <c r="D36" s="158"/>
      <c r="E36" s="94"/>
    </row>
    <row r="37" spans="1:5" s="169" customFormat="1" ht="12" customHeight="1">
      <c r="A37" s="12" t="s">
        <v>485</v>
      </c>
      <c r="B37" s="171" t="s">
        <v>175</v>
      </c>
      <c r="C37" s="158"/>
      <c r="D37" s="158"/>
      <c r="E37" s="94"/>
    </row>
    <row r="38" spans="1:5" s="169" customFormat="1" ht="12" customHeight="1">
      <c r="A38" s="12" t="s">
        <v>486</v>
      </c>
      <c r="B38" s="171" t="s">
        <v>176</v>
      </c>
      <c r="C38" s="158"/>
      <c r="D38" s="158"/>
      <c r="E38" s="94"/>
    </row>
    <row r="39" spans="1:5" s="169" customFormat="1" ht="12" customHeight="1" thickBot="1">
      <c r="A39" s="14" t="s">
        <v>487</v>
      </c>
      <c r="B39" s="317" t="s">
        <v>177</v>
      </c>
      <c r="C39" s="160"/>
      <c r="D39" s="160"/>
      <c r="E39" s="96"/>
    </row>
    <row r="40" spans="1:5" s="169" customFormat="1" ht="12" customHeight="1" thickBot="1">
      <c r="A40" s="18" t="s">
        <v>10</v>
      </c>
      <c r="B40" s="19" t="s">
        <v>331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>
      <c r="A41" s="13" t="s">
        <v>57</v>
      </c>
      <c r="B41" s="170" t="s">
        <v>180</v>
      </c>
      <c r="C41" s="159"/>
      <c r="D41" s="159"/>
      <c r="E41" s="95"/>
    </row>
    <row r="42" spans="1:5" s="169" customFormat="1" ht="12" customHeight="1">
      <c r="A42" s="12" t="s">
        <v>58</v>
      </c>
      <c r="B42" s="171" t="s">
        <v>181</v>
      </c>
      <c r="C42" s="158"/>
      <c r="D42" s="158"/>
      <c r="E42" s="94"/>
    </row>
    <row r="43" spans="1:5" s="169" customFormat="1" ht="12" customHeight="1">
      <c r="A43" s="12" t="s">
        <v>59</v>
      </c>
      <c r="B43" s="171" t="s">
        <v>182</v>
      </c>
      <c r="C43" s="158"/>
      <c r="D43" s="158"/>
      <c r="E43" s="94"/>
    </row>
    <row r="44" spans="1:5" s="169" customFormat="1" ht="12" customHeight="1">
      <c r="A44" s="12" t="s">
        <v>113</v>
      </c>
      <c r="B44" s="171" t="s">
        <v>183</v>
      </c>
      <c r="C44" s="158"/>
      <c r="D44" s="158"/>
      <c r="E44" s="94"/>
    </row>
    <row r="45" spans="1:5" s="169" customFormat="1" ht="12" customHeight="1">
      <c r="A45" s="12" t="s">
        <v>114</v>
      </c>
      <c r="B45" s="171" t="s">
        <v>184</v>
      </c>
      <c r="C45" s="158"/>
      <c r="D45" s="158"/>
      <c r="E45" s="94"/>
    </row>
    <row r="46" spans="1:5" s="169" customFormat="1" ht="12" customHeight="1">
      <c r="A46" s="12" t="s">
        <v>115</v>
      </c>
      <c r="B46" s="171" t="s">
        <v>185</v>
      </c>
      <c r="C46" s="158"/>
      <c r="D46" s="158"/>
      <c r="E46" s="94"/>
    </row>
    <row r="47" spans="1:5" s="169" customFormat="1" ht="12" customHeight="1">
      <c r="A47" s="12" t="s">
        <v>116</v>
      </c>
      <c r="B47" s="171" t="s">
        <v>186</v>
      </c>
      <c r="C47" s="158"/>
      <c r="D47" s="158"/>
      <c r="E47" s="94"/>
    </row>
    <row r="48" spans="1:5" s="169" customFormat="1" ht="12" customHeight="1">
      <c r="A48" s="12" t="s">
        <v>117</v>
      </c>
      <c r="B48" s="171" t="s">
        <v>488</v>
      </c>
      <c r="C48" s="158"/>
      <c r="D48" s="158"/>
      <c r="E48" s="94"/>
    </row>
    <row r="49" spans="1:5" s="169" customFormat="1" ht="12" customHeight="1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>
      <c r="A50" s="14" t="s">
        <v>179</v>
      </c>
      <c r="B50" s="172" t="s">
        <v>333</v>
      </c>
      <c r="C50" s="162"/>
      <c r="D50" s="162"/>
      <c r="E50" s="98"/>
    </row>
    <row r="51" spans="1:5" s="169" customFormat="1" ht="12" customHeight="1" thickBot="1">
      <c r="A51" s="14" t="s">
        <v>332</v>
      </c>
      <c r="B51" s="102" t="s">
        <v>189</v>
      </c>
      <c r="C51" s="162"/>
      <c r="D51" s="162"/>
      <c r="E51" s="98"/>
    </row>
    <row r="52" spans="1:5" s="169" customFormat="1" ht="12" customHeight="1" thickBot="1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>
      <c r="A53" s="13" t="s">
        <v>60</v>
      </c>
      <c r="B53" s="170" t="s">
        <v>194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195</v>
      </c>
      <c r="C54" s="161"/>
      <c r="D54" s="161"/>
      <c r="E54" s="97"/>
    </row>
    <row r="55" spans="1:5" s="169" customFormat="1" ht="12" customHeight="1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>
      <c r="A58" s="18" t="s">
        <v>118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>
      <c r="A59" s="13" t="s">
        <v>62</v>
      </c>
      <c r="B59" s="170" t="s">
        <v>200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325</v>
      </c>
      <c r="C60" s="158"/>
      <c r="D60" s="158"/>
      <c r="E60" s="94"/>
    </row>
    <row r="61" spans="1:5" s="169" customFormat="1" ht="12" customHeight="1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>
      <c r="A64" s="13" t="s">
        <v>119</v>
      </c>
      <c r="B64" s="170" t="s">
        <v>207</v>
      </c>
      <c r="C64" s="161"/>
      <c r="D64" s="161"/>
      <c r="E64" s="97"/>
    </row>
    <row r="65" spans="1:5" s="169" customFormat="1" ht="12" customHeight="1">
      <c r="A65" s="12" t="s">
        <v>120</v>
      </c>
      <c r="B65" s="171" t="s">
        <v>326</v>
      </c>
      <c r="C65" s="161"/>
      <c r="D65" s="161"/>
      <c r="E65" s="97"/>
    </row>
    <row r="66" spans="1:5" s="169" customFormat="1" ht="12" customHeight="1">
      <c r="A66" s="12" t="s">
        <v>139</v>
      </c>
      <c r="B66" s="171" t="s">
        <v>208</v>
      </c>
      <c r="C66" s="161"/>
      <c r="D66" s="161"/>
      <c r="E66" s="97"/>
    </row>
    <row r="67" spans="1:5" s="169" customFormat="1" ht="12" customHeight="1" thickBot="1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>
      <c r="A68" s="221" t="s">
        <v>373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>
      <c r="A72" s="14" t="s">
        <v>250</v>
      </c>
      <c r="B72" s="217" t="s">
        <v>358</v>
      </c>
      <c r="C72" s="161"/>
      <c r="D72" s="161"/>
      <c r="E72" s="97"/>
    </row>
    <row r="73" spans="1:5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97</v>
      </c>
      <c r="B74" s="354" t="s">
        <v>218</v>
      </c>
      <c r="C74" s="161"/>
      <c r="D74" s="161"/>
      <c r="E74" s="97"/>
    </row>
    <row r="75" spans="1:5" s="169" customFormat="1" ht="12" customHeight="1">
      <c r="A75" s="12" t="s">
        <v>98</v>
      </c>
      <c r="B75" s="354" t="s">
        <v>495</v>
      </c>
      <c r="C75" s="161"/>
      <c r="D75" s="161"/>
      <c r="E75" s="97"/>
    </row>
    <row r="76" spans="1:5" s="169" customFormat="1" ht="12" customHeight="1">
      <c r="A76" s="12" t="s">
        <v>241</v>
      </c>
      <c r="B76" s="354" t="s">
        <v>219</v>
      </c>
      <c r="C76" s="161"/>
      <c r="D76" s="161"/>
      <c r="E76" s="97"/>
    </row>
    <row r="77" spans="1:5" s="169" customFormat="1" ht="12" customHeight="1" thickBot="1">
      <c r="A77" s="14" t="s">
        <v>242</v>
      </c>
      <c r="B77" s="355" t="s">
        <v>496</v>
      </c>
      <c r="C77" s="161"/>
      <c r="D77" s="161"/>
      <c r="E77" s="97"/>
    </row>
    <row r="78" spans="1:5" s="169" customFormat="1" ht="12" customHeight="1" thickBot="1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>
      <c r="A84" s="14" t="s">
        <v>247</v>
      </c>
      <c r="B84" s="102" t="s">
        <v>497</v>
      </c>
      <c r="C84" s="161"/>
      <c r="D84" s="161"/>
      <c r="E84" s="97"/>
    </row>
    <row r="85" spans="1:5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>
      <c r="A90" s="211" t="s">
        <v>237</v>
      </c>
      <c r="B90" s="100" t="s">
        <v>372</v>
      </c>
      <c r="C90" s="213"/>
      <c r="D90" s="213"/>
      <c r="E90" s="214"/>
    </row>
    <row r="91" spans="1:5" s="169" customFormat="1" ht="13.5" customHeight="1" thickBot="1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>
      <c r="A92" s="211" t="s">
        <v>251</v>
      </c>
      <c r="B92" s="177" t="s">
        <v>375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>
      <c r="A93" s="212" t="s">
        <v>374</v>
      </c>
      <c r="B93" s="178" t="s">
        <v>376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3" s="169" customFormat="1" ht="15" customHeight="1">
      <c r="A94" s="3"/>
      <c r="B94" s="4"/>
      <c r="C94" s="104"/>
    </row>
    <row r="95" spans="1:5" ht="16.5" customHeight="1">
      <c r="A95" s="754" t="s">
        <v>34</v>
      </c>
      <c r="B95" s="754"/>
      <c r="C95" s="754"/>
      <c r="D95" s="754"/>
      <c r="E95" s="754"/>
    </row>
    <row r="96" spans="1:5" s="179" customFormat="1" ht="16.5" customHeight="1" thickBot="1">
      <c r="A96" s="755" t="s">
        <v>100</v>
      </c>
      <c r="B96" s="755"/>
      <c r="C96" s="61"/>
      <c r="E96" s="61" t="str">
        <f>E7</f>
        <v> Forintban!</v>
      </c>
    </row>
    <row r="97" spans="1:5" ht="1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</row>
    <row r="98" spans="1:5" ht="23.2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</row>
    <row r="99" spans="1:5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</row>
    <row r="100" spans="1:5" ht="12" customHeight="1" thickBot="1">
      <c r="A100" s="20" t="s">
        <v>6</v>
      </c>
      <c r="B100" s="24" t="s">
        <v>334</v>
      </c>
      <c r="C100" s="156">
        <f>C101+C102+C103+C104+C105+C118</f>
        <v>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>
      <c r="A101" s="15" t="s">
        <v>64</v>
      </c>
      <c r="B101" s="8" t="s">
        <v>35</v>
      </c>
      <c r="C101" s="231"/>
      <c r="D101" s="231"/>
      <c r="E101" s="225"/>
    </row>
    <row r="102" spans="1:5" ht="12" customHeight="1">
      <c r="A102" s="12" t="s">
        <v>65</v>
      </c>
      <c r="B102" s="6" t="s">
        <v>121</v>
      </c>
      <c r="C102" s="158"/>
      <c r="D102" s="158"/>
      <c r="E102" s="94"/>
    </row>
    <row r="103" spans="1:5" ht="12" customHeight="1">
      <c r="A103" s="12" t="s">
        <v>66</v>
      </c>
      <c r="B103" s="6" t="s">
        <v>92</v>
      </c>
      <c r="C103" s="160"/>
      <c r="D103" s="160"/>
      <c r="E103" s="96"/>
    </row>
    <row r="104" spans="1:5" ht="12" customHeight="1">
      <c r="A104" s="12" t="s">
        <v>67</v>
      </c>
      <c r="B104" s="9" t="s">
        <v>122</v>
      </c>
      <c r="C104" s="160"/>
      <c r="D104" s="160"/>
      <c r="E104" s="96"/>
    </row>
    <row r="105" spans="1:5" ht="12" customHeight="1">
      <c r="A105" s="12" t="s">
        <v>76</v>
      </c>
      <c r="B105" s="17" t="s">
        <v>123</v>
      </c>
      <c r="C105" s="160"/>
      <c r="D105" s="160"/>
      <c r="E105" s="96"/>
    </row>
    <row r="106" spans="1:5" ht="12" customHeight="1">
      <c r="A106" s="12" t="s">
        <v>68</v>
      </c>
      <c r="B106" s="6" t="s">
        <v>339</v>
      </c>
      <c r="C106" s="160"/>
      <c r="D106" s="160"/>
      <c r="E106" s="96"/>
    </row>
    <row r="107" spans="1:5" ht="12" customHeight="1">
      <c r="A107" s="12" t="s">
        <v>69</v>
      </c>
      <c r="B107" s="65" t="s">
        <v>338</v>
      </c>
      <c r="C107" s="160"/>
      <c r="D107" s="160"/>
      <c r="E107" s="96"/>
    </row>
    <row r="108" spans="1:5" ht="12" customHeight="1">
      <c r="A108" s="12" t="s">
        <v>77</v>
      </c>
      <c r="B108" s="65" t="s">
        <v>337</v>
      </c>
      <c r="C108" s="160"/>
      <c r="D108" s="160"/>
      <c r="E108" s="96"/>
    </row>
    <row r="109" spans="1:5" ht="12" customHeight="1">
      <c r="A109" s="12" t="s">
        <v>78</v>
      </c>
      <c r="B109" s="63" t="s">
        <v>254</v>
      </c>
      <c r="C109" s="160"/>
      <c r="D109" s="160"/>
      <c r="E109" s="96"/>
    </row>
    <row r="110" spans="1:5" ht="12" customHeight="1">
      <c r="A110" s="12" t="s">
        <v>79</v>
      </c>
      <c r="B110" s="64" t="s">
        <v>255</v>
      </c>
      <c r="C110" s="160"/>
      <c r="D110" s="160"/>
      <c r="E110" s="96"/>
    </row>
    <row r="111" spans="1:5" ht="12" customHeight="1">
      <c r="A111" s="12" t="s">
        <v>80</v>
      </c>
      <c r="B111" s="64" t="s">
        <v>256</v>
      </c>
      <c r="C111" s="160"/>
      <c r="D111" s="160"/>
      <c r="E111" s="96"/>
    </row>
    <row r="112" spans="1:5" ht="12" customHeight="1">
      <c r="A112" s="12" t="s">
        <v>82</v>
      </c>
      <c r="B112" s="63" t="s">
        <v>257</v>
      </c>
      <c r="C112" s="160"/>
      <c r="D112" s="160"/>
      <c r="E112" s="96"/>
    </row>
    <row r="113" spans="1:5" ht="12" customHeight="1">
      <c r="A113" s="12" t="s">
        <v>124</v>
      </c>
      <c r="B113" s="63" t="s">
        <v>258</v>
      </c>
      <c r="C113" s="160"/>
      <c r="D113" s="160"/>
      <c r="E113" s="96"/>
    </row>
    <row r="114" spans="1:5" ht="12" customHeight="1">
      <c r="A114" s="12" t="s">
        <v>252</v>
      </c>
      <c r="B114" s="64" t="s">
        <v>259</v>
      </c>
      <c r="C114" s="160"/>
      <c r="D114" s="160"/>
      <c r="E114" s="96"/>
    </row>
    <row r="115" spans="1:5" ht="12" customHeight="1">
      <c r="A115" s="11" t="s">
        <v>253</v>
      </c>
      <c r="B115" s="65" t="s">
        <v>260</v>
      </c>
      <c r="C115" s="160"/>
      <c r="D115" s="160"/>
      <c r="E115" s="96"/>
    </row>
    <row r="116" spans="1:5" ht="12" customHeight="1">
      <c r="A116" s="12" t="s">
        <v>335</v>
      </c>
      <c r="B116" s="65" t="s">
        <v>261</v>
      </c>
      <c r="C116" s="160"/>
      <c r="D116" s="160"/>
      <c r="E116" s="96"/>
    </row>
    <row r="117" spans="1:5" ht="12" customHeight="1">
      <c r="A117" s="14" t="s">
        <v>336</v>
      </c>
      <c r="B117" s="65" t="s">
        <v>262</v>
      </c>
      <c r="C117" s="160"/>
      <c r="D117" s="160"/>
      <c r="E117" s="96"/>
    </row>
    <row r="118" spans="1:5" ht="12" customHeight="1">
      <c r="A118" s="12" t="s">
        <v>340</v>
      </c>
      <c r="B118" s="9" t="s">
        <v>36</v>
      </c>
      <c r="C118" s="158"/>
      <c r="D118" s="158"/>
      <c r="E118" s="94"/>
    </row>
    <row r="119" spans="1:5" ht="12" customHeight="1">
      <c r="A119" s="12" t="s">
        <v>341</v>
      </c>
      <c r="B119" s="6" t="s">
        <v>343</v>
      </c>
      <c r="C119" s="158"/>
      <c r="D119" s="158"/>
      <c r="E119" s="94"/>
    </row>
    <row r="120" spans="1:5" ht="12" customHeight="1" thickBot="1">
      <c r="A120" s="16" t="s">
        <v>342</v>
      </c>
      <c r="B120" s="220" t="s">
        <v>344</v>
      </c>
      <c r="C120" s="232"/>
      <c r="D120" s="232"/>
      <c r="E120" s="226"/>
    </row>
    <row r="121" spans="1:5" ht="12" customHeight="1" thickBot="1">
      <c r="A121" s="218" t="s">
        <v>7</v>
      </c>
      <c r="B121" s="219" t="s">
        <v>263</v>
      </c>
      <c r="C121" s="233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>
      <c r="A122" s="13" t="s">
        <v>70</v>
      </c>
      <c r="B122" s="6" t="s">
        <v>138</v>
      </c>
      <c r="C122" s="159"/>
      <c r="D122" s="242"/>
      <c r="E122" s="95"/>
    </row>
    <row r="123" spans="1:5" ht="12" customHeight="1">
      <c r="A123" s="13" t="s">
        <v>71</v>
      </c>
      <c r="B123" s="10" t="s">
        <v>267</v>
      </c>
      <c r="C123" s="159"/>
      <c r="D123" s="242"/>
      <c r="E123" s="95"/>
    </row>
    <row r="124" spans="1:5" ht="12" customHeight="1">
      <c r="A124" s="13" t="s">
        <v>72</v>
      </c>
      <c r="B124" s="10" t="s">
        <v>125</v>
      </c>
      <c r="C124" s="158"/>
      <c r="D124" s="243"/>
      <c r="E124" s="94"/>
    </row>
    <row r="125" spans="1:5" ht="12" customHeight="1">
      <c r="A125" s="13" t="s">
        <v>73</v>
      </c>
      <c r="B125" s="10" t="s">
        <v>268</v>
      </c>
      <c r="C125" s="158"/>
      <c r="D125" s="243"/>
      <c r="E125" s="94"/>
    </row>
    <row r="126" spans="1:5" ht="12" customHeight="1">
      <c r="A126" s="13" t="s">
        <v>74</v>
      </c>
      <c r="B126" s="102" t="s">
        <v>140</v>
      </c>
      <c r="C126" s="158"/>
      <c r="D126" s="243"/>
      <c r="E126" s="94"/>
    </row>
    <row r="127" spans="1:5" ht="12" customHeight="1">
      <c r="A127" s="13" t="s">
        <v>81</v>
      </c>
      <c r="B127" s="101" t="s">
        <v>327</v>
      </c>
      <c r="C127" s="158"/>
      <c r="D127" s="243"/>
      <c r="E127" s="94"/>
    </row>
    <row r="128" spans="1:5" ht="12" customHeight="1">
      <c r="A128" s="13" t="s">
        <v>83</v>
      </c>
      <c r="B128" s="166" t="s">
        <v>273</v>
      </c>
      <c r="C128" s="158"/>
      <c r="D128" s="243"/>
      <c r="E128" s="94"/>
    </row>
    <row r="129" spans="1:5" ht="15">
      <c r="A129" s="13" t="s">
        <v>126</v>
      </c>
      <c r="B129" s="64" t="s">
        <v>256</v>
      </c>
      <c r="C129" s="158"/>
      <c r="D129" s="243"/>
      <c r="E129" s="94"/>
    </row>
    <row r="130" spans="1:5" ht="12" customHeight="1">
      <c r="A130" s="13" t="s">
        <v>127</v>
      </c>
      <c r="B130" s="64" t="s">
        <v>272</v>
      </c>
      <c r="C130" s="158"/>
      <c r="D130" s="243"/>
      <c r="E130" s="94"/>
    </row>
    <row r="131" spans="1:5" ht="12" customHeight="1">
      <c r="A131" s="13" t="s">
        <v>128</v>
      </c>
      <c r="B131" s="64" t="s">
        <v>271</v>
      </c>
      <c r="C131" s="158"/>
      <c r="D131" s="243"/>
      <c r="E131" s="94"/>
    </row>
    <row r="132" spans="1:5" ht="12" customHeight="1">
      <c r="A132" s="13" t="s">
        <v>264</v>
      </c>
      <c r="B132" s="64" t="s">
        <v>259</v>
      </c>
      <c r="C132" s="158"/>
      <c r="D132" s="243"/>
      <c r="E132" s="94"/>
    </row>
    <row r="133" spans="1:5" ht="12" customHeight="1">
      <c r="A133" s="13" t="s">
        <v>265</v>
      </c>
      <c r="B133" s="64" t="s">
        <v>270</v>
      </c>
      <c r="C133" s="158"/>
      <c r="D133" s="243"/>
      <c r="E133" s="94"/>
    </row>
    <row r="134" spans="1:5" ht="15.75" thickBot="1">
      <c r="A134" s="11" t="s">
        <v>266</v>
      </c>
      <c r="B134" s="64" t="s">
        <v>269</v>
      </c>
      <c r="C134" s="160"/>
      <c r="D134" s="244"/>
      <c r="E134" s="96"/>
    </row>
    <row r="135" spans="1:5" ht="12" customHeight="1" thickBot="1">
      <c r="A135" s="18" t="s">
        <v>8</v>
      </c>
      <c r="B135" s="57" t="s">
        <v>345</v>
      </c>
      <c r="C135" s="157">
        <f>+C100+C121</f>
        <v>0</v>
      </c>
      <c r="D135" s="241">
        <f>+D100+D121</f>
        <v>0</v>
      </c>
      <c r="E135" s="93">
        <f>+E100+E121</f>
        <v>0</v>
      </c>
    </row>
    <row r="136" spans="1:5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</row>
    <row r="137" spans="1:5" ht="12" customHeight="1">
      <c r="A137" s="13" t="s">
        <v>171</v>
      </c>
      <c r="B137" s="10" t="s">
        <v>353</v>
      </c>
      <c r="C137" s="158"/>
      <c r="D137" s="243"/>
      <c r="E137" s="94"/>
    </row>
    <row r="138" spans="1:5" ht="12" customHeight="1">
      <c r="A138" s="13" t="s">
        <v>172</v>
      </c>
      <c r="B138" s="10" t="s">
        <v>354</v>
      </c>
      <c r="C138" s="158"/>
      <c r="D138" s="243"/>
      <c r="E138" s="94"/>
    </row>
    <row r="139" spans="1:5" ht="12" customHeight="1" thickBot="1">
      <c r="A139" s="11" t="s">
        <v>173</v>
      </c>
      <c r="B139" s="10" t="s">
        <v>355</v>
      </c>
      <c r="C139" s="158"/>
      <c r="D139" s="243"/>
      <c r="E139" s="94"/>
    </row>
    <row r="140" spans="1:5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356</v>
      </c>
      <c r="C141" s="158"/>
      <c r="D141" s="243"/>
      <c r="E141" s="94"/>
    </row>
    <row r="142" spans="1:5" ht="12" customHeight="1">
      <c r="A142" s="13" t="s">
        <v>58</v>
      </c>
      <c r="B142" s="7" t="s">
        <v>348</v>
      </c>
      <c r="C142" s="158"/>
      <c r="D142" s="243"/>
      <c r="E142" s="94"/>
    </row>
    <row r="143" spans="1:5" ht="12" customHeight="1">
      <c r="A143" s="13" t="s">
        <v>59</v>
      </c>
      <c r="B143" s="7" t="s">
        <v>349</v>
      </c>
      <c r="C143" s="158"/>
      <c r="D143" s="243"/>
      <c r="E143" s="94"/>
    </row>
    <row r="144" spans="1:5" ht="12" customHeight="1">
      <c r="A144" s="13" t="s">
        <v>113</v>
      </c>
      <c r="B144" s="7" t="s">
        <v>350</v>
      </c>
      <c r="C144" s="158"/>
      <c r="D144" s="243"/>
      <c r="E144" s="94"/>
    </row>
    <row r="145" spans="1:5" ht="12" customHeight="1">
      <c r="A145" s="13" t="s">
        <v>114</v>
      </c>
      <c r="B145" s="7" t="s">
        <v>351</v>
      </c>
      <c r="C145" s="158"/>
      <c r="D145" s="243"/>
      <c r="E145" s="94"/>
    </row>
    <row r="146" spans="1:5" ht="12" customHeight="1" thickBot="1">
      <c r="A146" s="16" t="s">
        <v>115</v>
      </c>
      <c r="B146" s="366" t="s">
        <v>352</v>
      </c>
      <c r="C146" s="232"/>
      <c r="D146" s="308"/>
      <c r="E146" s="226"/>
    </row>
    <row r="147" spans="1:5" ht="12" customHeight="1" thickBot="1">
      <c r="A147" s="18" t="s">
        <v>11</v>
      </c>
      <c r="B147" s="57" t="s">
        <v>360</v>
      </c>
      <c r="C147" s="163">
        <f>+C148+C149+C150+C151</f>
        <v>0</v>
      </c>
      <c r="D147" s="245">
        <f>+D148+D149+D150+D151</f>
        <v>0</v>
      </c>
      <c r="E147" s="199">
        <f>+E148+E149+E150+E151</f>
        <v>0</v>
      </c>
    </row>
    <row r="148" spans="1:5" ht="12" customHeight="1">
      <c r="A148" s="13" t="s">
        <v>60</v>
      </c>
      <c r="B148" s="7" t="s">
        <v>274</v>
      </c>
      <c r="C148" s="158"/>
      <c r="D148" s="243"/>
      <c r="E148" s="94"/>
    </row>
    <row r="149" spans="1:5" ht="12" customHeight="1">
      <c r="A149" s="13" t="s">
        <v>61</v>
      </c>
      <c r="B149" s="7" t="s">
        <v>275</v>
      </c>
      <c r="C149" s="158"/>
      <c r="D149" s="243"/>
      <c r="E149" s="94"/>
    </row>
    <row r="150" spans="1:5" ht="12" customHeight="1">
      <c r="A150" s="13" t="s">
        <v>191</v>
      </c>
      <c r="B150" s="7" t="s">
        <v>361</v>
      </c>
      <c r="C150" s="158"/>
      <c r="D150" s="243"/>
      <c r="E150" s="94"/>
    </row>
    <row r="151" spans="1:5" ht="12" customHeight="1" thickBot="1">
      <c r="A151" s="11" t="s">
        <v>192</v>
      </c>
      <c r="B151" s="5" t="s">
        <v>291</v>
      </c>
      <c r="C151" s="158"/>
      <c r="D151" s="243"/>
      <c r="E151" s="94"/>
    </row>
    <row r="152" spans="1:5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</row>
    <row r="153" spans="1:5" ht="12" customHeight="1">
      <c r="A153" s="13" t="s">
        <v>62</v>
      </c>
      <c r="B153" s="7" t="s">
        <v>357</v>
      </c>
      <c r="C153" s="158"/>
      <c r="D153" s="243"/>
      <c r="E153" s="94"/>
    </row>
    <row r="154" spans="1:5" ht="12" customHeight="1">
      <c r="A154" s="13" t="s">
        <v>63</v>
      </c>
      <c r="B154" s="7" t="s">
        <v>364</v>
      </c>
      <c r="C154" s="158"/>
      <c r="D154" s="243"/>
      <c r="E154" s="94"/>
    </row>
    <row r="155" spans="1:5" ht="12" customHeight="1">
      <c r="A155" s="13" t="s">
        <v>203</v>
      </c>
      <c r="B155" s="7" t="s">
        <v>359</v>
      </c>
      <c r="C155" s="158"/>
      <c r="D155" s="243"/>
      <c r="E155" s="94"/>
    </row>
    <row r="156" spans="1:5" ht="12" customHeight="1">
      <c r="A156" s="13" t="s">
        <v>204</v>
      </c>
      <c r="B156" s="7" t="s">
        <v>365</v>
      </c>
      <c r="C156" s="158"/>
      <c r="D156" s="243"/>
      <c r="E156" s="94"/>
    </row>
    <row r="157" spans="1:5" ht="12" customHeight="1" thickBot="1">
      <c r="A157" s="13" t="s">
        <v>363</v>
      </c>
      <c r="B157" s="7" t="s">
        <v>366</v>
      </c>
      <c r="C157" s="158"/>
      <c r="D157" s="243"/>
      <c r="E157" s="94"/>
    </row>
    <row r="158" spans="1:5" ht="12" customHeight="1" thickBot="1">
      <c r="A158" s="18" t="s">
        <v>13</v>
      </c>
      <c r="B158" s="57" t="s">
        <v>367</v>
      </c>
      <c r="C158" s="235"/>
      <c r="D158" s="247"/>
      <c r="E158" s="229"/>
    </row>
    <row r="159" spans="1:5" ht="12" customHeight="1" thickBot="1">
      <c r="A159" s="18" t="s">
        <v>14</v>
      </c>
      <c r="B159" s="57" t="s">
        <v>368</v>
      </c>
      <c r="C159" s="235"/>
      <c r="D159" s="247"/>
      <c r="E159" s="229"/>
    </row>
    <row r="160" spans="1:9" ht="15" customHeight="1" thickBot="1">
      <c r="A160" s="18" t="s">
        <v>15</v>
      </c>
      <c r="B160" s="57" t="s">
        <v>370</v>
      </c>
      <c r="C160" s="236">
        <f>+C136+C140+C147+C152+C158+C159</f>
        <v>0</v>
      </c>
      <c r="D160" s="248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2.75" customHeight="1" thickBot="1">
      <c r="A161" s="103" t="s">
        <v>16</v>
      </c>
      <c r="B161" s="144" t="s">
        <v>369</v>
      </c>
      <c r="C161" s="236">
        <f>+C135+C160</f>
        <v>0</v>
      </c>
      <c r="D161" s="248">
        <f>+D135+D160</f>
        <v>0</v>
      </c>
      <c r="E161" s="230">
        <f>+E135+E160</f>
        <v>0</v>
      </c>
    </row>
    <row r="162" spans="3:4" ht="15">
      <c r="C162" s="603">
        <f>C93-C161</f>
        <v>0</v>
      </c>
      <c r="D162" s="603">
        <f>D93-D161</f>
        <v>0</v>
      </c>
    </row>
    <row r="163" spans="1:5" ht="15">
      <c r="A163" s="753" t="s">
        <v>276</v>
      </c>
      <c r="B163" s="753"/>
      <c r="C163" s="753"/>
      <c r="D163" s="753"/>
      <c r="E163" s="753"/>
    </row>
    <row r="164" spans="1:5" ht="15" customHeight="1" thickBot="1">
      <c r="A164" s="745" t="s">
        <v>101</v>
      </c>
      <c r="B164" s="745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371</v>
      </c>
      <c r="C165" s="240">
        <f>+C68-C135</f>
        <v>0</v>
      </c>
      <c r="D165" s="157">
        <f>+D68-D135</f>
        <v>0</v>
      </c>
      <c r="E165" s="93">
        <f>+E68-E135</f>
        <v>0</v>
      </c>
    </row>
    <row r="166" spans="1:5" ht="32.25" customHeight="1" thickBot="1">
      <c r="A166" s="18" t="s">
        <v>7</v>
      </c>
      <c r="B166" s="23" t="s">
        <v>377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7">
      <selection activeCell="I31" sqref="I31"/>
    </sheetView>
  </sheetViews>
  <sheetFormatPr defaultColWidth="9.375" defaultRowHeight="12.75"/>
  <cols>
    <col min="1" max="1" width="6.75390625" style="33" customWidth="1"/>
    <col min="2" max="2" width="48.00390625" style="69" customWidth="1"/>
    <col min="3" max="5" width="15.50390625" style="33" customWidth="1"/>
    <col min="6" max="6" width="55.1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1:10" ht="39.75" customHeight="1">
      <c r="A1" s="391"/>
      <c r="B1" s="397" t="s">
        <v>105</v>
      </c>
      <c r="C1" s="398"/>
      <c r="D1" s="398"/>
      <c r="E1" s="398"/>
      <c r="F1" s="398"/>
      <c r="G1" s="398"/>
      <c r="H1" s="398"/>
      <c r="I1" s="398"/>
      <c r="J1" s="767" t="str">
        <f>CONCATENATE("2.1. melléklet ",Z_ALAPADATOK!A7," ",Z_ALAPADATOK!B7," ",Z_ALAPADATOK!C7," ",Z_ALAPADATOK!D7," ",Z_ALAPADATOK!E7," ",Z_ALAPADATOK!F7," ",Z_ALAPADATOK!G7," ",Z_ALAPADATOK!H7)</f>
        <v>2.1. melléklet a … / 2020. ( … ) önkormányzati rendelethez</v>
      </c>
    </row>
    <row r="2" spans="1:10" ht="14.25" thickBot="1">
      <c r="A2" s="391"/>
      <c r="B2" s="390"/>
      <c r="C2" s="391"/>
      <c r="D2" s="391"/>
      <c r="E2" s="391"/>
      <c r="F2" s="391"/>
      <c r="G2" s="399"/>
      <c r="H2" s="399"/>
      <c r="I2" s="399" t="str">
        <f>CONCATENATE('Z_1.4.sz.mell.'!E7)</f>
        <v> Forintban!</v>
      </c>
      <c r="J2" s="767"/>
    </row>
    <row r="3" spans="1:10" ht="18" customHeight="1" thickBot="1">
      <c r="A3" s="764" t="s">
        <v>52</v>
      </c>
      <c r="B3" s="400" t="s">
        <v>40</v>
      </c>
      <c r="C3" s="401"/>
      <c r="D3" s="402"/>
      <c r="E3" s="402"/>
      <c r="F3" s="400" t="s">
        <v>41</v>
      </c>
      <c r="G3" s="403"/>
      <c r="H3" s="404"/>
      <c r="I3" s="405"/>
      <c r="J3" s="767"/>
    </row>
    <row r="4" spans="1:10" s="113" customFormat="1" ht="35.25" customHeight="1" thickBot="1">
      <c r="A4" s="765"/>
      <c r="B4" s="393" t="s">
        <v>45</v>
      </c>
      <c r="C4" s="359" t="str">
        <f>+CONCATENATE('Z_1.1.sz.mell.'!C8," eredeti előirányzat")</f>
        <v>2019. évi eredeti előirányzat</v>
      </c>
      <c r="D4" s="357" t="str">
        <f>+CONCATENATE('Z_1.1.sz.mell.'!C8," módosított előirányzat")</f>
        <v>2019. évi módosított előirányzat</v>
      </c>
      <c r="E4" s="357" t="str">
        <f>CONCATENATE('Z_1.4.sz.mell.'!E9)</f>
        <v>2019. XII. 31.
teljesítés</v>
      </c>
      <c r="F4" s="393" t="s">
        <v>45</v>
      </c>
      <c r="G4" s="359" t="str">
        <f>+C4</f>
        <v>2019. évi eredeti előirányzat</v>
      </c>
      <c r="H4" s="359" t="str">
        <f>+D4</f>
        <v>2019. évi módosított előirányzat</v>
      </c>
      <c r="I4" s="358" t="str">
        <f>+E4</f>
        <v>2019. XII. 31.
teljesítés</v>
      </c>
      <c r="J4" s="767"/>
    </row>
    <row r="5" spans="1:10" s="114" customFormat="1" ht="12" customHeight="1" thickBot="1">
      <c r="A5" s="406" t="s">
        <v>381</v>
      </c>
      <c r="B5" s="407" t="s">
        <v>382</v>
      </c>
      <c r="C5" s="408" t="s">
        <v>383</v>
      </c>
      <c r="D5" s="411" t="s">
        <v>385</v>
      </c>
      <c r="E5" s="411" t="s">
        <v>384</v>
      </c>
      <c r="F5" s="407" t="s">
        <v>418</v>
      </c>
      <c r="G5" s="408" t="s">
        <v>387</v>
      </c>
      <c r="H5" s="408" t="s">
        <v>388</v>
      </c>
      <c r="I5" s="412" t="s">
        <v>419</v>
      </c>
      <c r="J5" s="767"/>
    </row>
    <row r="6" spans="1:10" ht="12.75" customHeight="1">
      <c r="A6" s="115" t="s">
        <v>6</v>
      </c>
      <c r="B6" s="116" t="s">
        <v>277</v>
      </c>
      <c r="C6" s="106">
        <v>114843006</v>
      </c>
      <c r="D6" s="106">
        <v>123109630</v>
      </c>
      <c r="E6" s="106">
        <v>123109630</v>
      </c>
      <c r="F6" s="116" t="s">
        <v>46</v>
      </c>
      <c r="G6" s="106">
        <v>137343031</v>
      </c>
      <c r="H6" s="106">
        <v>144517214</v>
      </c>
      <c r="I6" s="254">
        <v>132848699</v>
      </c>
      <c r="J6" s="767"/>
    </row>
    <row r="7" spans="1:10" ht="12.75" customHeight="1">
      <c r="A7" s="117" t="s">
        <v>7</v>
      </c>
      <c r="B7" s="118" t="s">
        <v>278</v>
      </c>
      <c r="C7" s="107">
        <v>17284914</v>
      </c>
      <c r="D7" s="107">
        <v>20516737</v>
      </c>
      <c r="E7" s="107">
        <v>21041960</v>
      </c>
      <c r="F7" s="118" t="s">
        <v>121</v>
      </c>
      <c r="G7" s="107">
        <v>30666604</v>
      </c>
      <c r="H7" s="107">
        <v>31764481</v>
      </c>
      <c r="I7" s="255">
        <v>25630545</v>
      </c>
      <c r="J7" s="767"/>
    </row>
    <row r="8" spans="1:10" ht="12.75" customHeight="1">
      <c r="A8" s="117" t="s">
        <v>8</v>
      </c>
      <c r="B8" s="118" t="s">
        <v>296</v>
      </c>
      <c r="C8" s="107">
        <v>0</v>
      </c>
      <c r="D8" s="107"/>
      <c r="E8" s="107"/>
      <c r="F8" s="118" t="s">
        <v>143</v>
      </c>
      <c r="G8" s="107">
        <v>174711855</v>
      </c>
      <c r="H8" s="107">
        <v>185689665</v>
      </c>
      <c r="I8" s="255">
        <v>153357612</v>
      </c>
      <c r="J8" s="767"/>
    </row>
    <row r="9" spans="1:10" ht="12.75" customHeight="1">
      <c r="A9" s="117" t="s">
        <v>9</v>
      </c>
      <c r="B9" s="118" t="s">
        <v>112</v>
      </c>
      <c r="C9" s="107">
        <v>197329000</v>
      </c>
      <c r="D9" s="107">
        <v>222693906</v>
      </c>
      <c r="E9" s="107">
        <v>221476906</v>
      </c>
      <c r="F9" s="118" t="s">
        <v>122</v>
      </c>
      <c r="G9" s="107">
        <v>5300000</v>
      </c>
      <c r="H9" s="107">
        <v>5300000</v>
      </c>
      <c r="I9" s="255">
        <v>3851370</v>
      </c>
      <c r="J9" s="767"/>
    </row>
    <row r="10" spans="1:10" ht="12.75" customHeight="1">
      <c r="A10" s="117" t="s">
        <v>10</v>
      </c>
      <c r="B10" s="119" t="s">
        <v>320</v>
      </c>
      <c r="C10" s="107">
        <v>54566909</v>
      </c>
      <c r="D10" s="107">
        <v>59609666</v>
      </c>
      <c r="E10" s="107">
        <v>50774575</v>
      </c>
      <c r="F10" s="118" t="s">
        <v>123</v>
      </c>
      <c r="G10" s="107">
        <v>68346835</v>
      </c>
      <c r="H10" s="107">
        <v>78889498</v>
      </c>
      <c r="I10" s="255">
        <v>77587358</v>
      </c>
      <c r="J10" s="767"/>
    </row>
    <row r="11" spans="1:10" ht="12.75" customHeight="1">
      <c r="A11" s="117" t="s">
        <v>11</v>
      </c>
      <c r="B11" s="118" t="s">
        <v>279</v>
      </c>
      <c r="C11" s="108">
        <v>982365</v>
      </c>
      <c r="D11" s="108">
        <v>243737</v>
      </c>
      <c r="E11" s="108">
        <v>243737</v>
      </c>
      <c r="F11" s="118" t="s">
        <v>36</v>
      </c>
      <c r="G11" s="107">
        <v>23423342</v>
      </c>
      <c r="H11" s="107">
        <v>62808475</v>
      </c>
      <c r="I11" s="255"/>
      <c r="J11" s="767"/>
    </row>
    <row r="12" spans="1:10" ht="12.75" customHeight="1">
      <c r="A12" s="117" t="s">
        <v>12</v>
      </c>
      <c r="B12" s="118" t="s">
        <v>378</v>
      </c>
      <c r="C12" s="107">
        <v>0</v>
      </c>
      <c r="D12" s="107"/>
      <c r="E12" s="107"/>
      <c r="F12" s="30"/>
      <c r="G12" s="107"/>
      <c r="H12" s="107"/>
      <c r="I12" s="255"/>
      <c r="J12" s="767"/>
    </row>
    <row r="13" spans="1:10" ht="12.75" customHeight="1">
      <c r="A13" s="117" t="s">
        <v>13</v>
      </c>
      <c r="B13" s="30"/>
      <c r="C13" s="107"/>
      <c r="D13" s="107"/>
      <c r="E13" s="107"/>
      <c r="F13" s="30"/>
      <c r="G13" s="107"/>
      <c r="H13" s="107"/>
      <c r="I13" s="255"/>
      <c r="J13" s="767"/>
    </row>
    <row r="14" spans="1:10" ht="12.75" customHeight="1">
      <c r="A14" s="117" t="s">
        <v>14</v>
      </c>
      <c r="B14" s="182"/>
      <c r="C14" s="108"/>
      <c r="D14" s="108"/>
      <c r="E14" s="108"/>
      <c r="F14" s="30"/>
      <c r="G14" s="107"/>
      <c r="H14" s="107"/>
      <c r="I14" s="255"/>
      <c r="J14" s="767"/>
    </row>
    <row r="15" spans="1:10" ht="12.75" customHeight="1">
      <c r="A15" s="117" t="s">
        <v>15</v>
      </c>
      <c r="B15" s="30"/>
      <c r="C15" s="107"/>
      <c r="D15" s="107"/>
      <c r="E15" s="107"/>
      <c r="F15" s="30"/>
      <c r="G15" s="107"/>
      <c r="H15" s="107"/>
      <c r="I15" s="255"/>
      <c r="J15" s="767"/>
    </row>
    <row r="16" spans="1:10" ht="12.75" customHeight="1">
      <c r="A16" s="117" t="s">
        <v>16</v>
      </c>
      <c r="B16" s="30"/>
      <c r="C16" s="107"/>
      <c r="D16" s="107"/>
      <c r="E16" s="107"/>
      <c r="F16" s="30"/>
      <c r="G16" s="107"/>
      <c r="H16" s="107"/>
      <c r="I16" s="255"/>
      <c r="J16" s="767"/>
    </row>
    <row r="17" spans="1:10" ht="12.75" customHeight="1" thickBot="1">
      <c r="A17" s="117" t="s">
        <v>17</v>
      </c>
      <c r="B17" s="34"/>
      <c r="C17" s="109"/>
      <c r="D17" s="109"/>
      <c r="E17" s="109"/>
      <c r="F17" s="30"/>
      <c r="G17" s="109"/>
      <c r="H17" s="109"/>
      <c r="I17" s="256"/>
      <c r="J17" s="767"/>
    </row>
    <row r="18" spans="1:10" ht="13.5" thickBot="1">
      <c r="A18" s="120" t="s">
        <v>18</v>
      </c>
      <c r="B18" s="58" t="s">
        <v>379</v>
      </c>
      <c r="C18" s="110">
        <f>C6+C7+C9+C10+C11+C13+C14+C15+C16+C17</f>
        <v>385006194</v>
      </c>
      <c r="D18" s="110">
        <f>D6+D7+D9+D10+D11+D13+D14+D15+D16+D17</f>
        <v>426173676</v>
      </c>
      <c r="E18" s="110">
        <f>E6+E7+E9+E10+E11+E13+E14+E15+E16+E17</f>
        <v>416646808</v>
      </c>
      <c r="F18" s="58" t="s">
        <v>282</v>
      </c>
      <c r="G18" s="110">
        <f>SUM(G6:G17)</f>
        <v>439791667</v>
      </c>
      <c r="H18" s="110">
        <f>SUM(H6:H17)</f>
        <v>508969333</v>
      </c>
      <c r="I18" s="138">
        <f>SUM(I6:I17)</f>
        <v>393275584</v>
      </c>
      <c r="J18" s="767"/>
    </row>
    <row r="19" spans="1:10" ht="12.75" customHeight="1">
      <c r="A19" s="121" t="s">
        <v>19</v>
      </c>
      <c r="B19" s="122" t="s">
        <v>800</v>
      </c>
      <c r="C19" s="222">
        <f>+C20+C21+C22+C23</f>
        <v>119337818</v>
      </c>
      <c r="D19" s="222">
        <f>+D20+D21+D22+D23</f>
        <v>155066224</v>
      </c>
      <c r="E19" s="222">
        <f>+E20+E21+E22+E23</f>
        <v>154663017</v>
      </c>
      <c r="F19" s="123" t="s">
        <v>129</v>
      </c>
      <c r="G19" s="111"/>
      <c r="H19" s="111"/>
      <c r="I19" s="257"/>
      <c r="J19" s="767"/>
    </row>
    <row r="20" spans="1:10" ht="12.75" customHeight="1">
      <c r="A20" s="124" t="s">
        <v>20</v>
      </c>
      <c r="B20" s="123" t="s">
        <v>136</v>
      </c>
      <c r="C20" s="47">
        <v>119337818</v>
      </c>
      <c r="D20" s="47">
        <v>155066224</v>
      </c>
      <c r="E20" s="47">
        <v>154663017</v>
      </c>
      <c r="F20" s="123" t="s">
        <v>281</v>
      </c>
      <c r="G20" s="47"/>
      <c r="H20" s="47"/>
      <c r="I20" s="258"/>
      <c r="J20" s="767"/>
    </row>
    <row r="21" spans="1:10" ht="12.75" customHeight="1">
      <c r="A21" s="124" t="s">
        <v>21</v>
      </c>
      <c r="B21" s="123" t="s">
        <v>137</v>
      </c>
      <c r="C21" s="47"/>
      <c r="D21" s="47"/>
      <c r="E21" s="47"/>
      <c r="F21" s="123" t="s">
        <v>103</v>
      </c>
      <c r="G21" s="47"/>
      <c r="H21" s="47"/>
      <c r="I21" s="258"/>
      <c r="J21" s="767"/>
    </row>
    <row r="22" spans="1:10" ht="12.75" customHeight="1">
      <c r="A22" s="124" t="s">
        <v>22</v>
      </c>
      <c r="B22" s="123" t="s">
        <v>141</v>
      </c>
      <c r="C22" s="47"/>
      <c r="D22" s="47"/>
      <c r="E22" s="47"/>
      <c r="F22" s="123" t="s">
        <v>104</v>
      </c>
      <c r="G22" s="47"/>
      <c r="H22" s="47"/>
      <c r="I22" s="258"/>
      <c r="J22" s="767"/>
    </row>
    <row r="23" spans="1:10" ht="12.75" customHeight="1">
      <c r="A23" s="124" t="s">
        <v>23</v>
      </c>
      <c r="B23" s="123" t="s">
        <v>142</v>
      </c>
      <c r="C23" s="47"/>
      <c r="D23" s="47"/>
      <c r="E23" s="47"/>
      <c r="F23" s="122" t="s">
        <v>144</v>
      </c>
      <c r="G23" s="47"/>
      <c r="H23" s="47"/>
      <c r="I23" s="258"/>
      <c r="J23" s="767"/>
    </row>
    <row r="24" spans="1:10" ht="12.75" customHeight="1">
      <c r="A24" s="117" t="s">
        <v>24</v>
      </c>
      <c r="B24" s="123" t="s">
        <v>280</v>
      </c>
      <c r="C24" s="47"/>
      <c r="D24" s="47"/>
      <c r="E24" s="47"/>
      <c r="F24" s="123" t="s">
        <v>130</v>
      </c>
      <c r="G24" s="47"/>
      <c r="H24" s="47"/>
      <c r="I24" s="258"/>
      <c r="J24" s="767"/>
    </row>
    <row r="25" spans="1:10" ht="12.75" customHeight="1">
      <c r="A25" s="117" t="s">
        <v>25</v>
      </c>
      <c r="B25" s="123" t="s">
        <v>799</v>
      </c>
      <c r="C25" s="125">
        <f>C26+C27+C28</f>
        <v>0</v>
      </c>
      <c r="D25" s="125">
        <f>D26+D27+D28</f>
        <v>0</v>
      </c>
      <c r="E25" s="125">
        <f>E26+E27+E28</f>
        <v>0</v>
      </c>
      <c r="F25" s="116" t="s">
        <v>361</v>
      </c>
      <c r="G25" s="47"/>
      <c r="H25" s="47"/>
      <c r="I25" s="258"/>
      <c r="J25" s="767"/>
    </row>
    <row r="26" spans="1:10" ht="12.75" customHeight="1">
      <c r="A26" s="153" t="s">
        <v>26</v>
      </c>
      <c r="B26" s="122" t="s">
        <v>152</v>
      </c>
      <c r="C26" s="111"/>
      <c r="D26" s="111"/>
      <c r="E26" s="111"/>
      <c r="F26" s="118" t="s">
        <v>367</v>
      </c>
      <c r="G26" s="111"/>
      <c r="H26" s="111"/>
      <c r="I26" s="257"/>
      <c r="J26" s="767"/>
    </row>
    <row r="27" spans="1:10" ht="12.75" customHeight="1">
      <c r="A27" s="117" t="s">
        <v>27</v>
      </c>
      <c r="B27" s="123" t="s">
        <v>372</v>
      </c>
      <c r="C27" s="47"/>
      <c r="D27" s="47"/>
      <c r="E27" s="47"/>
      <c r="F27" s="118" t="s">
        <v>368</v>
      </c>
      <c r="G27" s="47"/>
      <c r="H27" s="47"/>
      <c r="I27" s="258"/>
      <c r="J27" s="767"/>
    </row>
    <row r="28" spans="1:10" ht="12.75" customHeight="1" thickBot="1">
      <c r="A28" s="153" t="s">
        <v>28</v>
      </c>
      <c r="B28" s="122" t="s">
        <v>238</v>
      </c>
      <c r="C28" s="111"/>
      <c r="D28" s="111"/>
      <c r="E28" s="111"/>
      <c r="F28" s="184" t="s">
        <v>275</v>
      </c>
      <c r="G28" s="111">
        <v>4112627</v>
      </c>
      <c r="H28" s="111">
        <v>13230398</v>
      </c>
      <c r="I28" s="257">
        <v>13230398</v>
      </c>
      <c r="J28" s="767"/>
    </row>
    <row r="29" spans="1:10" ht="24" customHeight="1" thickBot="1">
      <c r="A29" s="120" t="s">
        <v>29</v>
      </c>
      <c r="B29" s="58" t="s">
        <v>802</v>
      </c>
      <c r="C29" s="110">
        <f>+C19+C25</f>
        <v>119337818</v>
      </c>
      <c r="D29" s="110">
        <f>+D19+D25</f>
        <v>155066224</v>
      </c>
      <c r="E29" s="252">
        <f>+E19+E25</f>
        <v>154663017</v>
      </c>
      <c r="F29" s="58" t="s">
        <v>801</v>
      </c>
      <c r="G29" s="110">
        <f>SUM(G19:G28)</f>
        <v>4112627</v>
      </c>
      <c r="H29" s="110">
        <f>SUM(H19:H28)</f>
        <v>13230398</v>
      </c>
      <c r="I29" s="138">
        <f>SUM(I19:I28)</f>
        <v>13230398</v>
      </c>
      <c r="J29" s="767"/>
    </row>
    <row r="30" spans="1:10" ht="13.5" thickBot="1">
      <c r="A30" s="120" t="s">
        <v>30</v>
      </c>
      <c r="B30" s="126" t="s">
        <v>380</v>
      </c>
      <c r="C30" s="322">
        <f>+C18+C29</f>
        <v>504344012</v>
      </c>
      <c r="D30" s="322">
        <f>+D18+D29</f>
        <v>581239900</v>
      </c>
      <c r="E30" s="323">
        <f>+E18+E29</f>
        <v>571309825</v>
      </c>
      <c r="F30" s="126"/>
      <c r="G30" s="322">
        <f>+G18+G29</f>
        <v>443904294</v>
      </c>
      <c r="H30" s="322">
        <f>+H18+H29</f>
        <v>522199731</v>
      </c>
      <c r="I30" s="323">
        <f>+I18+I29</f>
        <v>406505982</v>
      </c>
      <c r="J30" s="767"/>
    </row>
    <row r="31" spans="1:10" ht="13.5" thickBot="1">
      <c r="A31" s="120" t="s">
        <v>31</v>
      </c>
      <c r="B31" s="126" t="s">
        <v>107</v>
      </c>
      <c r="C31" s="322">
        <f>IF(C18-G18&lt;0,G18-C18,"-")</f>
        <v>54785473</v>
      </c>
      <c r="D31" s="322">
        <f>IF(D18-H18&lt;0,H18-D18,"-")</f>
        <v>82795657</v>
      </c>
      <c r="E31" s="323" t="str">
        <f>IF(E18-I18&lt;0,I18-E18,"-")</f>
        <v>-</v>
      </c>
      <c r="F31" s="126" t="s">
        <v>108</v>
      </c>
      <c r="G31" s="322" t="str">
        <f>IF(C18-G18&gt;0,C18-G18,"-")</f>
        <v>-</v>
      </c>
      <c r="H31" s="322" t="str">
        <f>IF(D18-H18&gt;0,D18-H18,"-")</f>
        <v>-</v>
      </c>
      <c r="I31" s="323">
        <f>IF(E18-I18&gt;0,E18-I18,"-")</f>
        <v>23371224</v>
      </c>
      <c r="J31" s="767"/>
    </row>
    <row r="32" spans="1:10" ht="13.5" thickBot="1">
      <c r="A32" s="120" t="s">
        <v>32</v>
      </c>
      <c r="B32" s="126" t="s">
        <v>493</v>
      </c>
      <c r="C32" s="322" t="str">
        <f>IF(C30-G30&lt;0,G30-C30,"-")</f>
        <v>-</v>
      </c>
      <c r="D32" s="322" t="str">
        <f>IF(D30-H30&lt;0,H30-D30,"-")</f>
        <v>-</v>
      </c>
      <c r="E32" s="322" t="str">
        <f>IF(E30-I30&lt;0,I30-E30,"-")</f>
        <v>-</v>
      </c>
      <c r="F32" s="126" t="s">
        <v>494</v>
      </c>
      <c r="G32" s="322">
        <f>IF(C30-G30&gt;0,C30-G30,"-")</f>
        <v>60439718</v>
      </c>
      <c r="H32" s="322">
        <f>IF(D30-H30&gt;0,D30-H30,"-")</f>
        <v>59040169</v>
      </c>
      <c r="I32" s="322">
        <f>IF(E30-I30&gt;0,E30-I30,"-")</f>
        <v>164803843</v>
      </c>
      <c r="J32" s="767"/>
    </row>
    <row r="33" spans="2:10" ht="17.25">
      <c r="B33" s="766"/>
      <c r="C33" s="766"/>
      <c r="D33" s="766"/>
      <c r="E33" s="766"/>
      <c r="F33" s="766"/>
      <c r="J33" s="767"/>
    </row>
  </sheetData>
  <sheetProtection sheet="1"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22">
      <selection activeCell="E32" sqref="E32"/>
    </sheetView>
  </sheetViews>
  <sheetFormatPr defaultColWidth="9.375" defaultRowHeight="12.75"/>
  <cols>
    <col min="1" max="1" width="6.75390625" style="33" customWidth="1"/>
    <col min="2" max="2" width="49.75390625" style="69" customWidth="1"/>
    <col min="3" max="5" width="15.50390625" style="33" customWidth="1"/>
    <col min="6" max="6" width="49.753906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1:10" ht="30.75">
      <c r="A1" s="391"/>
      <c r="B1" s="397" t="s">
        <v>106</v>
      </c>
      <c r="C1" s="398"/>
      <c r="D1" s="398"/>
      <c r="E1" s="398"/>
      <c r="F1" s="398"/>
      <c r="G1" s="398"/>
      <c r="H1" s="398"/>
      <c r="I1" s="398"/>
      <c r="J1" s="767" t="str">
        <f>CONCATENATE("2.2. melléklet ",Z_ALAPADATOK!A7," ",Z_ALAPADATOK!B7," ",Z_ALAPADATOK!C7," ",Z_ALAPADATOK!D7," ",Z_ALAPADATOK!E7," ",Z_ALAPADATOK!F7," ",Z_ALAPADATOK!G7," ",Z_ALAPADATOK!H7)</f>
        <v>2.2. melléklet a … / 2020. ( … ) önkormányzati rendelethez</v>
      </c>
    </row>
    <row r="2" spans="1:10" ht="14.25" thickBot="1">
      <c r="A2" s="391"/>
      <c r="B2" s="390"/>
      <c r="C2" s="391"/>
      <c r="D2" s="391"/>
      <c r="E2" s="391"/>
      <c r="F2" s="391"/>
      <c r="G2" s="399"/>
      <c r="H2" s="399"/>
      <c r="I2" s="399" t="str">
        <f>'Z_2.1.sz.mell'!I2</f>
        <v> Forintban!</v>
      </c>
      <c r="J2" s="767"/>
    </row>
    <row r="3" spans="1:10" ht="13.5" customHeight="1" thickBot="1">
      <c r="A3" s="764" t="s">
        <v>52</v>
      </c>
      <c r="B3" s="400" t="s">
        <v>40</v>
      </c>
      <c r="C3" s="401"/>
      <c r="D3" s="402"/>
      <c r="E3" s="402"/>
      <c r="F3" s="400" t="s">
        <v>41</v>
      </c>
      <c r="G3" s="403"/>
      <c r="H3" s="404"/>
      <c r="I3" s="405"/>
      <c r="J3" s="767"/>
    </row>
    <row r="4" spans="1:10" s="113" customFormat="1" ht="34.5" thickBot="1">
      <c r="A4" s="765"/>
      <c r="B4" s="393" t="s">
        <v>45</v>
      </c>
      <c r="C4" s="359" t="str">
        <f>+CONCATENATE('Z_1.1.sz.mell.'!C8," eredeti előirányzat")</f>
        <v>2019. évi eredeti előirányzat</v>
      </c>
      <c r="D4" s="357" t="str">
        <f>+CONCATENATE('Z_1.1.sz.mell.'!C8," módosított előirányzat")</f>
        <v>2019. évi módosított előirányzat</v>
      </c>
      <c r="E4" s="357" t="str">
        <f>CONCATENATE('Z_2.1.sz.mell'!E4)</f>
        <v>2019. XII. 31.
teljesítés</v>
      </c>
      <c r="F4" s="393" t="s">
        <v>45</v>
      </c>
      <c r="G4" s="359" t="str">
        <f>+C4</f>
        <v>2019. évi eredeti előirányzat</v>
      </c>
      <c r="H4" s="359" t="str">
        <f>+D4</f>
        <v>2019. évi módosított előirányzat</v>
      </c>
      <c r="I4" s="358" t="str">
        <f>+E4</f>
        <v>2019. XII. 31.
teljesítés</v>
      </c>
      <c r="J4" s="767"/>
    </row>
    <row r="5" spans="1:10" s="113" customFormat="1" ht="13.5" thickBot="1">
      <c r="A5" s="406" t="s">
        <v>381</v>
      </c>
      <c r="B5" s="407" t="s">
        <v>382</v>
      </c>
      <c r="C5" s="408" t="s">
        <v>383</v>
      </c>
      <c r="D5" s="408" t="s">
        <v>385</v>
      </c>
      <c r="E5" s="408" t="s">
        <v>384</v>
      </c>
      <c r="F5" s="407" t="s">
        <v>386</v>
      </c>
      <c r="G5" s="408" t="s">
        <v>387</v>
      </c>
      <c r="H5" s="409" t="s">
        <v>388</v>
      </c>
      <c r="I5" s="410" t="s">
        <v>419</v>
      </c>
      <c r="J5" s="767"/>
    </row>
    <row r="6" spans="1:10" ht="12.75" customHeight="1">
      <c r="A6" s="115" t="s">
        <v>6</v>
      </c>
      <c r="B6" s="116" t="s">
        <v>283</v>
      </c>
      <c r="C6" s="106">
        <v>145309282</v>
      </c>
      <c r="D6" s="106">
        <v>108981962</v>
      </c>
      <c r="E6" s="106">
        <v>112960973</v>
      </c>
      <c r="F6" s="116" t="s">
        <v>138</v>
      </c>
      <c r="G6" s="106">
        <v>109121844</v>
      </c>
      <c r="H6" s="263">
        <v>106481126</v>
      </c>
      <c r="I6" s="136">
        <v>70954176</v>
      </c>
      <c r="J6" s="767"/>
    </row>
    <row r="7" spans="1:10" ht="12.75">
      <c r="A7" s="117" t="s">
        <v>7</v>
      </c>
      <c r="B7" s="118" t="s">
        <v>284</v>
      </c>
      <c r="C7" s="107"/>
      <c r="D7" s="107"/>
      <c r="E7" s="107"/>
      <c r="F7" s="118" t="s">
        <v>289</v>
      </c>
      <c r="G7" s="107">
        <v>68814684</v>
      </c>
      <c r="H7" s="107">
        <v>68814684</v>
      </c>
      <c r="I7" s="255">
        <v>45463345</v>
      </c>
      <c r="J7" s="767"/>
    </row>
    <row r="8" spans="1:10" ht="12.75" customHeight="1">
      <c r="A8" s="117" t="s">
        <v>8</v>
      </c>
      <c r="B8" s="118" t="s">
        <v>1</v>
      </c>
      <c r="C8" s="107">
        <v>11907010</v>
      </c>
      <c r="D8" s="107">
        <v>12314867</v>
      </c>
      <c r="E8" s="107">
        <v>12348725</v>
      </c>
      <c r="F8" s="118" t="s">
        <v>125</v>
      </c>
      <c r="G8" s="107">
        <v>110873255</v>
      </c>
      <c r="H8" s="107">
        <v>95683388</v>
      </c>
      <c r="I8" s="255">
        <v>61931792</v>
      </c>
      <c r="J8" s="767"/>
    </row>
    <row r="9" spans="1:10" ht="12.75" customHeight="1">
      <c r="A9" s="117" t="s">
        <v>9</v>
      </c>
      <c r="B9" s="118" t="s">
        <v>285</v>
      </c>
      <c r="C9" s="107"/>
      <c r="D9" s="107">
        <v>3906518</v>
      </c>
      <c r="E9" s="107">
        <v>3622195</v>
      </c>
      <c r="F9" s="118" t="s">
        <v>290</v>
      </c>
      <c r="G9" s="107"/>
      <c r="H9" s="107"/>
      <c r="I9" s="255"/>
      <c r="J9" s="767"/>
    </row>
    <row r="10" spans="1:10" ht="12.75" customHeight="1">
      <c r="A10" s="117" t="s">
        <v>10</v>
      </c>
      <c r="B10" s="118" t="s">
        <v>286</v>
      </c>
      <c r="C10" s="107"/>
      <c r="D10" s="107"/>
      <c r="E10" s="107"/>
      <c r="F10" s="118" t="s">
        <v>140</v>
      </c>
      <c r="G10" s="107">
        <v>4500000</v>
      </c>
      <c r="H10" s="107">
        <v>2094960</v>
      </c>
      <c r="I10" s="255">
        <v>1861660</v>
      </c>
      <c r="J10" s="767"/>
    </row>
    <row r="11" spans="1:10" ht="12.75" customHeight="1">
      <c r="A11" s="117" t="s">
        <v>11</v>
      </c>
      <c r="B11" s="118" t="s">
        <v>287</v>
      </c>
      <c r="C11" s="108"/>
      <c r="D11" s="108"/>
      <c r="E11" s="108"/>
      <c r="F11" s="185"/>
      <c r="G11" s="107"/>
      <c r="H11" s="107"/>
      <c r="I11" s="255"/>
      <c r="J11" s="767"/>
    </row>
    <row r="12" spans="1:10" ht="12.75" customHeight="1">
      <c r="A12" s="117" t="s">
        <v>12</v>
      </c>
      <c r="B12" s="30"/>
      <c r="C12" s="107"/>
      <c r="D12" s="107"/>
      <c r="E12" s="107"/>
      <c r="F12" s="185"/>
      <c r="G12" s="107"/>
      <c r="H12" s="107"/>
      <c r="I12" s="255"/>
      <c r="J12" s="767"/>
    </row>
    <row r="13" spans="1:10" ht="12.75" customHeight="1">
      <c r="A13" s="117" t="s">
        <v>13</v>
      </c>
      <c r="B13" s="30"/>
      <c r="C13" s="107"/>
      <c r="D13" s="107"/>
      <c r="E13" s="107"/>
      <c r="F13" s="186"/>
      <c r="G13" s="107"/>
      <c r="H13" s="107"/>
      <c r="I13" s="255"/>
      <c r="J13" s="767"/>
    </row>
    <row r="14" spans="1:10" ht="12.75" customHeight="1">
      <c r="A14" s="117" t="s">
        <v>14</v>
      </c>
      <c r="B14" s="183"/>
      <c r="C14" s="108"/>
      <c r="D14" s="108"/>
      <c r="E14" s="108"/>
      <c r="F14" s="185"/>
      <c r="G14" s="107"/>
      <c r="H14" s="107"/>
      <c r="I14" s="255"/>
      <c r="J14" s="767"/>
    </row>
    <row r="15" spans="1:10" ht="12.75">
      <c r="A15" s="117" t="s">
        <v>15</v>
      </c>
      <c r="B15" s="30"/>
      <c r="C15" s="108"/>
      <c r="D15" s="108"/>
      <c r="E15" s="108"/>
      <c r="F15" s="185"/>
      <c r="G15" s="107"/>
      <c r="H15" s="107"/>
      <c r="I15" s="255"/>
      <c r="J15" s="767"/>
    </row>
    <row r="16" spans="1:10" ht="12.75" customHeight="1" thickBot="1">
      <c r="A16" s="153" t="s">
        <v>16</v>
      </c>
      <c r="B16" s="184"/>
      <c r="C16" s="155"/>
      <c r="D16" s="155"/>
      <c r="E16" s="155"/>
      <c r="F16" s="154" t="s">
        <v>36</v>
      </c>
      <c r="G16" s="261"/>
      <c r="H16" s="261"/>
      <c r="I16" s="259"/>
      <c r="J16" s="767"/>
    </row>
    <row r="17" spans="1:10" ht="15.75" customHeight="1" thickBot="1">
      <c r="A17" s="120" t="s">
        <v>17</v>
      </c>
      <c r="B17" s="58" t="s">
        <v>297</v>
      </c>
      <c r="C17" s="110">
        <f>+C6+C8+C9+C11+C12+C13+C14+C15+C16</f>
        <v>157216292</v>
      </c>
      <c r="D17" s="110">
        <f>+D6+D8+D9+D11+D12+D13+D14+D15+D16</f>
        <v>125203347</v>
      </c>
      <c r="E17" s="110">
        <f>+E6+E8+E9+E11+E12+E13+E14+E15+E16</f>
        <v>128931893</v>
      </c>
      <c r="F17" s="58" t="s">
        <v>298</v>
      </c>
      <c r="G17" s="110">
        <f>+G6+G8+G10+G11+G12+G13+G14+G15+G16</f>
        <v>224495099</v>
      </c>
      <c r="H17" s="110">
        <f>+H6+H8+H10+H11+H12+H13+H14+H15+H16</f>
        <v>204259474</v>
      </c>
      <c r="I17" s="138">
        <f>+I6+I8+I10+I11+I12+I13+I14+I15+I16</f>
        <v>134747628</v>
      </c>
      <c r="J17" s="767"/>
    </row>
    <row r="18" spans="1:10" ht="12.75" customHeight="1">
      <c r="A18" s="115" t="s">
        <v>18</v>
      </c>
      <c r="B18" s="128" t="s">
        <v>155</v>
      </c>
      <c r="C18" s="135">
        <f>+C19+C20+C21+C22+C23</f>
        <v>6839089</v>
      </c>
      <c r="D18" s="135">
        <f>+D19+D20+D21+D22+D23</f>
        <v>6839089</v>
      </c>
      <c r="E18" s="135">
        <f>+E19+E20+E21+E22+E23</f>
        <v>7242296</v>
      </c>
      <c r="F18" s="123" t="s">
        <v>129</v>
      </c>
      <c r="G18" s="262"/>
      <c r="H18" s="262"/>
      <c r="I18" s="260"/>
      <c r="J18" s="767"/>
    </row>
    <row r="19" spans="1:10" ht="12.75" customHeight="1">
      <c r="A19" s="117" t="s">
        <v>19</v>
      </c>
      <c r="B19" s="129" t="s">
        <v>145</v>
      </c>
      <c r="C19" s="47">
        <v>6839089</v>
      </c>
      <c r="D19" s="47">
        <v>6839089</v>
      </c>
      <c r="E19" s="47">
        <v>7242296</v>
      </c>
      <c r="F19" s="123" t="s">
        <v>132</v>
      </c>
      <c r="G19" s="47"/>
      <c r="H19" s="47"/>
      <c r="I19" s="258"/>
      <c r="J19" s="767"/>
    </row>
    <row r="20" spans="1:10" ht="12.75" customHeight="1">
      <c r="A20" s="115" t="s">
        <v>20</v>
      </c>
      <c r="B20" s="129" t="s">
        <v>146</v>
      </c>
      <c r="C20" s="47"/>
      <c r="D20" s="47"/>
      <c r="E20" s="47"/>
      <c r="F20" s="123" t="s">
        <v>103</v>
      </c>
      <c r="G20" s="47"/>
      <c r="H20" s="47"/>
      <c r="I20" s="258"/>
      <c r="J20" s="767"/>
    </row>
    <row r="21" spans="1:10" ht="12.75" customHeight="1">
      <c r="A21" s="117" t="s">
        <v>21</v>
      </c>
      <c r="B21" s="129" t="s">
        <v>147</v>
      </c>
      <c r="C21" s="47"/>
      <c r="D21" s="47"/>
      <c r="E21" s="47"/>
      <c r="F21" s="123" t="s">
        <v>104</v>
      </c>
      <c r="G21" s="47"/>
      <c r="H21" s="47"/>
      <c r="I21" s="258"/>
      <c r="J21" s="767"/>
    </row>
    <row r="22" spans="1:10" ht="12.75" customHeight="1">
      <c r="A22" s="115" t="s">
        <v>22</v>
      </c>
      <c r="B22" s="129" t="s">
        <v>148</v>
      </c>
      <c r="C22" s="47"/>
      <c r="D22" s="47"/>
      <c r="E22" s="47"/>
      <c r="F22" s="122" t="s">
        <v>144</v>
      </c>
      <c r="G22" s="47"/>
      <c r="H22" s="47"/>
      <c r="I22" s="258"/>
      <c r="J22" s="767"/>
    </row>
    <row r="23" spans="1:10" ht="12.75" customHeight="1">
      <c r="A23" s="117" t="s">
        <v>23</v>
      </c>
      <c r="B23" s="130" t="s">
        <v>149</v>
      </c>
      <c r="C23" s="47"/>
      <c r="D23" s="47"/>
      <c r="E23" s="47"/>
      <c r="F23" s="123" t="s">
        <v>133</v>
      </c>
      <c r="G23" s="47"/>
      <c r="H23" s="47"/>
      <c r="I23" s="258"/>
      <c r="J23" s="767"/>
    </row>
    <row r="24" spans="1:10" ht="12.75" customHeight="1">
      <c r="A24" s="115" t="s">
        <v>24</v>
      </c>
      <c r="B24" s="131" t="s">
        <v>150</v>
      </c>
      <c r="C24" s="125">
        <f>+C25+C26+C27+C28+C29</f>
        <v>0</v>
      </c>
      <c r="D24" s="125">
        <f>+D25+D26+D27+D28+D29</f>
        <v>13176869</v>
      </c>
      <c r="E24" s="125">
        <f>+E25+E26+E27+E28+E29</f>
        <v>13176869</v>
      </c>
      <c r="F24" s="132" t="s">
        <v>131</v>
      </c>
      <c r="G24" s="47"/>
      <c r="H24" s="47"/>
      <c r="I24" s="258"/>
      <c r="J24" s="767"/>
    </row>
    <row r="25" spans="1:10" ht="12.75" customHeight="1">
      <c r="A25" s="117" t="s">
        <v>25</v>
      </c>
      <c r="B25" s="130" t="s">
        <v>151</v>
      </c>
      <c r="C25" s="47"/>
      <c r="D25" s="47"/>
      <c r="E25" s="47"/>
      <c r="F25" s="132" t="s">
        <v>291</v>
      </c>
      <c r="G25" s="47"/>
      <c r="H25" s="47"/>
      <c r="I25" s="258"/>
      <c r="J25" s="767"/>
    </row>
    <row r="26" spans="1:10" ht="12.75" customHeight="1">
      <c r="A26" s="115" t="s">
        <v>26</v>
      </c>
      <c r="B26" s="130" t="s">
        <v>152</v>
      </c>
      <c r="C26" s="47"/>
      <c r="D26" s="47"/>
      <c r="E26" s="47"/>
      <c r="F26" s="127"/>
      <c r="G26" s="47"/>
      <c r="H26" s="47"/>
      <c r="I26" s="258"/>
      <c r="J26" s="767"/>
    </row>
    <row r="27" spans="1:10" ht="12.75" customHeight="1">
      <c r="A27" s="117" t="s">
        <v>27</v>
      </c>
      <c r="B27" s="129" t="s">
        <v>153</v>
      </c>
      <c r="C27" s="47"/>
      <c r="D27" s="47"/>
      <c r="E27" s="47"/>
      <c r="F27" s="56"/>
      <c r="G27" s="47"/>
      <c r="H27" s="47"/>
      <c r="I27" s="258"/>
      <c r="J27" s="767"/>
    </row>
    <row r="28" spans="1:10" ht="12.75" customHeight="1">
      <c r="A28" s="115" t="s">
        <v>28</v>
      </c>
      <c r="B28" s="133" t="s">
        <v>154</v>
      </c>
      <c r="C28" s="47"/>
      <c r="D28" s="47"/>
      <c r="E28" s="47"/>
      <c r="F28" s="30"/>
      <c r="G28" s="47"/>
      <c r="H28" s="47"/>
      <c r="I28" s="258"/>
      <c r="J28" s="767"/>
    </row>
    <row r="29" spans="1:10" ht="12.75" customHeight="1" thickBot="1">
      <c r="A29" s="117" t="s">
        <v>29</v>
      </c>
      <c r="B29" s="134" t="s">
        <v>226</v>
      </c>
      <c r="C29" s="47"/>
      <c r="D29" s="47">
        <v>13176869</v>
      </c>
      <c r="E29" s="47">
        <v>13176869</v>
      </c>
      <c r="F29" s="56"/>
      <c r="G29" s="47"/>
      <c r="H29" s="47"/>
      <c r="I29" s="258"/>
      <c r="J29" s="767"/>
    </row>
    <row r="30" spans="1:10" ht="21.75" customHeight="1" thickBot="1">
      <c r="A30" s="120" t="s">
        <v>30</v>
      </c>
      <c r="B30" s="58" t="s">
        <v>288</v>
      </c>
      <c r="C30" s="110">
        <f>+C18+C24</f>
        <v>6839089</v>
      </c>
      <c r="D30" s="110">
        <f>+D18+D24</f>
        <v>20015958</v>
      </c>
      <c r="E30" s="110">
        <f>+E18+E24</f>
        <v>20419165</v>
      </c>
      <c r="F30" s="58" t="s">
        <v>292</v>
      </c>
      <c r="G30" s="110">
        <f>SUM(G18:G29)</f>
        <v>0</v>
      </c>
      <c r="H30" s="110">
        <f>SUM(H18:H29)</f>
        <v>0</v>
      </c>
      <c r="I30" s="138">
        <f>SUM(I18:I29)</f>
        <v>0</v>
      </c>
      <c r="J30" s="767"/>
    </row>
    <row r="31" spans="1:10" ht="13.5" thickBot="1">
      <c r="A31" s="120" t="s">
        <v>31</v>
      </c>
      <c r="B31" s="126" t="s">
        <v>293</v>
      </c>
      <c r="C31" s="322">
        <f>+C17+C30</f>
        <v>164055381</v>
      </c>
      <c r="D31" s="322">
        <f>+D17+D30</f>
        <v>145219305</v>
      </c>
      <c r="E31" s="323">
        <f>+E17+E30</f>
        <v>149351058</v>
      </c>
      <c r="F31" s="126" t="s">
        <v>294</v>
      </c>
      <c r="G31" s="322">
        <f>+G17+G30</f>
        <v>224495099</v>
      </c>
      <c r="H31" s="322">
        <f>+H17+H30</f>
        <v>204259474</v>
      </c>
      <c r="I31" s="323">
        <f>+I17+I30</f>
        <v>134747628</v>
      </c>
      <c r="J31" s="767"/>
    </row>
    <row r="32" spans="1:10" ht="13.5" thickBot="1">
      <c r="A32" s="120" t="s">
        <v>32</v>
      </c>
      <c r="B32" s="126" t="s">
        <v>107</v>
      </c>
      <c r="C32" s="322">
        <f>IF(C17-G17&lt;0,G17-C17,"-")</f>
        <v>67278807</v>
      </c>
      <c r="D32" s="322">
        <f>IF(D17-H17&lt;0,H17-D17,"-")</f>
        <v>79056127</v>
      </c>
      <c r="E32" s="323">
        <f>IF(E17-I17&lt;0,I17-E17,"-")</f>
        <v>5815735</v>
      </c>
      <c r="F32" s="126" t="s">
        <v>108</v>
      </c>
      <c r="G32" s="322" t="str">
        <f>IF(C17-G17&gt;0,C17-G17,"-")</f>
        <v>-</v>
      </c>
      <c r="H32" s="322" t="str">
        <f>IF(D17-H17&gt;0,D17-H17,"-")</f>
        <v>-</v>
      </c>
      <c r="I32" s="323" t="str">
        <f>IF(E17-I17&gt;0,E17-I17,"-")</f>
        <v>-</v>
      </c>
      <c r="J32" s="767"/>
    </row>
    <row r="33" spans="1:10" ht="13.5" thickBot="1">
      <c r="A33" s="120" t="s">
        <v>33</v>
      </c>
      <c r="B33" s="126" t="s">
        <v>493</v>
      </c>
      <c r="C33" s="322">
        <f>IF(C31-G31&lt;0,G31-C31,"-")</f>
        <v>60439718</v>
      </c>
      <c r="D33" s="322">
        <f>IF(D31-H31&lt;0,H31-D31,"-")</f>
        <v>59040169</v>
      </c>
      <c r="E33" s="322" t="str">
        <f>IF(E31-I31&lt;0,I31-E31,"-")</f>
        <v>-</v>
      </c>
      <c r="F33" s="126" t="s">
        <v>494</v>
      </c>
      <c r="G33" s="322" t="str">
        <f>IF(C31-G31&gt;0,C31-G31,"-")</f>
        <v>-</v>
      </c>
      <c r="H33" s="322" t="str">
        <f>IF(D31-H31&gt;0,D31-H31,"-")</f>
        <v>-</v>
      </c>
      <c r="I33" s="322">
        <f>IF(E31-I31&gt;0,E31-I31,"-")</f>
        <v>14603430</v>
      </c>
      <c r="J33" s="767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Kuti Henriett Margit</cp:lastModifiedBy>
  <cp:lastPrinted>2020-06-09T08:05:13Z</cp:lastPrinted>
  <dcterms:created xsi:type="dcterms:W3CDTF">1999-10-30T10:30:45Z</dcterms:created>
  <dcterms:modified xsi:type="dcterms:W3CDTF">2020-06-19T06:31:26Z</dcterms:modified>
  <cp:category/>
  <cp:version/>
  <cp:contentType/>
  <cp:contentStatus/>
</cp:coreProperties>
</file>