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2900" tabRatio="978" firstSheet="3" activeTab="17"/>
  </bookViews>
  <sheets>
    <sheet name="IB_TARTALOMJEGYZÉK" sheetId="1" r:id="rId1"/>
    <sheet name="IB_ALAPADATOK" sheetId="2" r:id="rId2"/>
    <sheet name="IB_ÖSSZEFÜGGÉSEK" sheetId="3" r:id="rId3"/>
    <sheet name="IB_ELLENŐRZÉS" sheetId="4" r:id="rId4"/>
    <sheet name="1.sz.mell." sheetId="5" r:id="rId5"/>
    <sheet name="2.sz.mell." sheetId="6" r:id="rId6"/>
    <sheet name="3.sz.mell." sheetId="7" r:id="rId7"/>
    <sheet name="4.sz.mell" sheetId="8" r:id="rId8"/>
    <sheet name="5.sz.mell." sheetId="9" r:id="rId9"/>
    <sheet name="6.sz.mell" sheetId="10" r:id="rId10"/>
    <sheet name="7.sz.mell." sheetId="11" r:id="rId11"/>
    <sheet name="8.sz.mell." sheetId="12" r:id="rId12"/>
    <sheet name="9.sz.mell." sheetId="13" r:id="rId13"/>
    <sheet name="10.sz.mell." sheetId="14" r:id="rId14"/>
    <sheet name="11.sz.mell." sheetId="15" r:id="rId15"/>
    <sheet name="12.sz.mell." sheetId="16" r:id="rId16"/>
    <sheet name="13.sz.mell." sheetId="17" r:id="rId17"/>
    <sheet name="14.sz.mell." sheetId="18" r:id="rId18"/>
    <sheet name="15.sz.mell." sheetId="19" r:id="rId19"/>
    <sheet name="16.sz.mell." sheetId="20" r:id="rId20"/>
    <sheet name="17.sz.mell." sheetId="21" r:id="rId21"/>
    <sheet name="18.sz.mell." sheetId="22" r:id="rId22"/>
    <sheet name="19.sz.mell." sheetId="23" r:id="rId23"/>
    <sheet name="20.sz.mell." sheetId="24" r:id="rId24"/>
    <sheet name="21.sz.mell." sheetId="25" r:id="rId25"/>
    <sheet name="22.sz.mell.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_xlfn.IFERROR" hidden="1">#NAME?</definedName>
    <definedName name="_xlnm.Print_Titles" localSheetId="13">'10.sz.mell.'!$1:$6</definedName>
    <definedName name="_xlnm.Print_Titles" localSheetId="14">'11.sz.mell.'!$1:$6</definedName>
    <definedName name="_xlnm.Print_Titles" localSheetId="15">'12.sz.mell.'!$1:$6</definedName>
    <definedName name="_xlnm.Print_Titles" localSheetId="16">'13.sz.mell.'!$1:$6</definedName>
    <definedName name="_xlnm.Print_Titles" localSheetId="17">'14.sz.mell.'!$1:$6</definedName>
    <definedName name="_xlnm.Print_Titles" localSheetId="18">'15.sz.mell.'!$1:$6</definedName>
    <definedName name="_xlnm.Print_Titles" localSheetId="19">'16.sz.mell.'!$1:$6</definedName>
    <definedName name="_xlnm.Print_Titles" localSheetId="20">'17.sz.mell.'!$1:$6</definedName>
    <definedName name="_xlnm.Print_Titles" localSheetId="21">'18.sz.mell.'!$1:$6</definedName>
    <definedName name="_xlnm.Print_Titles" localSheetId="22">'19.sz.mell.'!$1:$6</definedName>
    <definedName name="_xlnm.Print_Titles" localSheetId="23">'20.sz.mell.'!$1:$6</definedName>
    <definedName name="_xlnm.Print_Titles" localSheetId="24">'21.sz.mell.'!$1:$6</definedName>
    <definedName name="_xlnm.Print_Area" localSheetId="4">'1.sz.mell.'!$A$1:$E$169</definedName>
    <definedName name="_xlnm.Print_Area" localSheetId="5">'2.sz.mell.'!$A$1:$E$169</definedName>
    <definedName name="_xlnm.Print_Area" localSheetId="6">'3.sz.mell.'!$A$1:$E$167</definedName>
    <definedName name="_xlnm.Print_Area" localSheetId="7">'4.sz.mell'!$A$1:$E$167</definedName>
  </definedNames>
  <calcPr fullCalcOnLoad="1"/>
</workbook>
</file>

<file path=xl/sharedStrings.xml><?xml version="1.0" encoding="utf-8"?>
<sst xmlns="http://schemas.openxmlformats.org/spreadsheetml/2006/main" count="3923" uniqueCount="638">
  <si>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</si>
  <si>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</si>
  <si>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</si>
  <si>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</si>
  <si>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</si>
  <si>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</si>
  <si>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</si>
  <si>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</si>
  <si>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</si>
  <si>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</si>
  <si>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</si>
  <si>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</si>
  <si>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</si>
  <si>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</si>
  <si>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</si>
  <si>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</si>
  <si>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</si>
  <si>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</si>
  <si>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</si>
  <si>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</si>
  <si>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</si>
  <si>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</si>
  <si>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</si>
  <si>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</si>
  <si>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</si>
  <si>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</si>
  <si>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</si>
  <si>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</si>
  <si>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</si>
  <si>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</si>
  <si>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</si>
  <si>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</si>
  <si>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</si>
  <si>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</si>
  <si>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</si>
  <si>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</si>
  <si>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</si>
  <si>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</si>
  <si>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</si>
  <si>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</si>
  <si>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</si>
  <si>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</si>
  <si>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</si>
  <si>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</si>
  <si>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</si>
  <si>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</si>
  <si>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</si>
  <si>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</si>
  <si>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</si>
  <si>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</si>
  <si>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</si>
  <si>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</si>
  <si>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</si>
  <si>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</si>
  <si>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</si>
  <si>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</si>
  <si>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</si>
  <si>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</si>
  <si>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</si>
  <si>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</si>
  <si>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</si>
  <si>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</si>
  <si>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</si>
  <si>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</si>
  <si>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</si>
  <si>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</si>
  <si>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</si>
  <si>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</si>
  <si>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</si>
  <si>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</si>
  <si>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</si>
  <si>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</si>
  <si>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</si>
  <si>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</si>
  <si>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</si>
  <si>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</si>
  <si>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</si>
  <si>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</si>
  <si>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</si>
  <si>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</si>
  <si>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</si>
  <si>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</si>
  <si>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</si>
  <si>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</si>
  <si>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</si>
  <si>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</si>
  <si>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</si>
  <si>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</si>
  <si>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</si>
  <si>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</si>
  <si>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</si>
  <si>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</si>
  <si>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</si>
  <si>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</si>
  <si>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</si>
  <si>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</si>
  <si>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</si>
  <si>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</si>
  <si>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</si>
  <si>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</si>
  <si>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</si>
  <si>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</si>
  <si>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</si>
  <si>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</si>
  <si>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</si>
  <si>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</si>
  <si>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</si>
  <si>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</si>
  <si>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</si>
  <si>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</si>
  <si>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</si>
  <si>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</si>
  <si>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</si>
  <si>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</si>
  <si>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</si>
  <si>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</si>
  <si>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</si>
  <si>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</si>
  <si>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</si>
  <si>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</si>
  <si>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</si>
  <si>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</si>
  <si>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</si>
  <si>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</si>
  <si>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</si>
  <si>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</si>
  <si>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</si>
  <si>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</si>
  <si>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</si>
  <si>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</si>
  <si>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</si>
  <si>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</si>
  <si>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</si>
  <si>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</si>
  <si>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</si>
  <si>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</si>
  <si>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</si>
  <si>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</si>
  <si>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</si>
  <si>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</si>
  <si>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</si>
  <si>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</si>
  <si>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</si>
  <si>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</si>
  <si>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</si>
  <si>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</si>
  <si>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</si>
  <si>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</si>
  <si>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</si>
  <si>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</si>
  <si>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</si>
  <si>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</si>
  <si>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</si>
  <si>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</si>
  <si>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</si>
  <si>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</si>
  <si>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</si>
  <si>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</si>
  <si>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</si>
  <si>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</si>
  <si>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</si>
  <si>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</si>
  <si>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</si>
  <si>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</si>
  <si>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</si>
  <si>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</si>
  <si>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</si>
  <si>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</si>
  <si>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</si>
  <si>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</si>
  <si>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</si>
  <si>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</si>
  <si>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</si>
  <si>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</si>
  <si>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</si>
  <si>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</si>
  <si>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</si>
  <si>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</si>
  <si>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</si>
  <si>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</si>
  <si>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</si>
  <si>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</si>
  <si>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</si>
  <si>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</si>
  <si>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</si>
  <si>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</si>
  <si>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</si>
  <si>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</si>
  <si>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</si>
  <si>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</si>
  <si>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</si>
  <si>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</si>
  <si>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</si>
  <si>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</si>
  <si>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</si>
  <si>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</si>
  <si>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</si>
  <si>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</si>
  <si>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</si>
  <si>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</si>
  <si>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</si>
  <si>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</si>
  <si>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</si>
  <si>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</si>
  <si>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</si>
  <si>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</si>
  <si>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</si>
  <si>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</si>
  <si>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</si>
  <si>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</si>
  <si>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</si>
  <si>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</si>
  <si>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</si>
  <si>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</si>
  <si>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</si>
  <si>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</si>
  <si>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</si>
  <si>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</si>
  <si>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</si>
  <si>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</si>
  <si>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</si>
  <si>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</si>
  <si>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</si>
  <si>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</si>
  <si>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</si>
  <si>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</si>
  <si>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</si>
  <si>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</si>
  <si>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</si>
  <si>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</si>
  <si>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</si>
  <si>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</si>
  <si>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</si>
  <si>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</si>
  <si>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</si>
  <si>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</si>
  <si>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</si>
  <si>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</si>
  <si>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</si>
  <si>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</si>
  <si>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</si>
  <si>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</si>
  <si>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</si>
  <si>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</si>
  <si>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</si>
  <si>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</si>
  <si>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</si>
  <si>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</si>
  <si>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</si>
  <si>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</si>
  <si>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</si>
  <si>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</si>
  <si>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</si>
  <si>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</si>
  <si>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</si>
  <si>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</si>
  <si>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</si>
  <si>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</si>
  <si>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</si>
  <si>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</si>
  <si>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</si>
  <si>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</si>
  <si>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</si>
  <si>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</si>
  <si>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</si>
  <si>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</si>
  <si>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</si>
  <si>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</si>
  <si>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</si>
  <si>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</si>
  <si>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</si>
  <si>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</si>
  <si>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</si>
  <si>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</si>
  <si>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</si>
  <si>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</si>
  <si>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</si>
  <si>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</si>
  <si>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</si>
  <si>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</si>
  <si>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</si>
  <si>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</si>
  <si>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</si>
  <si>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</si>
  <si>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</si>
  <si>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</si>
  <si>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</si>
  <si>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</si>
  <si>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</si>
  <si>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</si>
  <si>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</si>
  <si>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</si>
  <si>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</si>
  <si>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</si>
  <si>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</si>
  <si>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</si>
  <si>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</si>
  <si>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</si>
  <si>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</si>
  <si>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</si>
  <si>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</si>
  <si>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</si>
  <si>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</si>
  <si>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</si>
  <si>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</si>
  <si>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</si>
  <si>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</si>
  <si>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</si>
  <si>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</si>
  <si>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</si>
  <si>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</si>
  <si>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</si>
  <si>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</si>
  <si>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</si>
  <si>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</si>
  <si>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</si>
  <si>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</si>
  <si>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</si>
  <si>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</si>
  <si>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</si>
  <si>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</si>
  <si>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</si>
  <si>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</si>
  <si>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</si>
  <si>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</si>
  <si>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</si>
  <si>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</si>
  <si>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</si>
  <si>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</si>
  <si>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</si>
  <si>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</si>
  <si>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</si>
  <si>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</si>
  <si>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</si>
  <si>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</si>
  <si>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</si>
  <si>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</si>
  <si>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</si>
  <si>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</si>
  <si>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</si>
  <si>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</si>
  <si>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</si>
  <si>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</si>
  <si>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</si>
  <si>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</si>
  <si>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</si>
  <si>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</si>
  <si>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</si>
  <si>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</si>
  <si>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</si>
  <si>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</si>
  <si>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</si>
  <si>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</si>
  <si>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</si>
  <si>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</si>
  <si>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</si>
  <si>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</si>
  <si>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</si>
  <si>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</si>
  <si>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</si>
  <si>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</si>
  <si>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</si>
  <si>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</si>
  <si>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</si>
  <si>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</si>
  <si>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</si>
  <si>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</si>
  <si>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</si>
  <si>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</si>
  <si>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</si>
  <si>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</si>
  <si>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</si>
  <si>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</si>
  <si>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</si>
  <si>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</si>
  <si>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</si>
  <si>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</si>
  <si>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</si>
  <si>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</si>
  <si>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</si>
  <si>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</si>
  <si>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</si>
  <si>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</si>
  <si>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</si>
  <si>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</si>
  <si>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</si>
  <si>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</si>
  <si>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</si>
  <si>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</si>
  <si>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</si>
  <si>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</si>
  <si>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</si>
  <si>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</si>
  <si>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</si>
  <si>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</si>
  <si>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</si>
  <si>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</si>
  <si>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</si>
  <si>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</si>
  <si>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</si>
  <si>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</si>
  <si>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</si>
  <si>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</si>
  <si>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</si>
  <si>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</si>
  <si>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</si>
  <si>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</si>
  <si>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</si>
  <si>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</si>
  <si>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</si>
  <si>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</si>
  <si>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</si>
  <si>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</si>
  <si>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</si>
  <si>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</si>
  <si>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</si>
  <si>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</si>
  <si>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</si>
  <si>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</si>
  <si>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</si>
  <si>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</si>
  <si>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</si>
  <si>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</si>
  <si>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</si>
  <si>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</si>
  <si>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</si>
  <si>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</si>
  <si>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</si>
  <si>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</si>
  <si>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</si>
  <si>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</si>
  <si>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</si>
  <si>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</si>
  <si>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</si>
  <si>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</si>
  <si>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</si>
  <si>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</si>
  <si>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</si>
  <si>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</si>
  <si>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</si>
  <si>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</si>
  <si>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</si>
  <si>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</si>
  <si>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</si>
  <si>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</si>
  <si>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</si>
  <si>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</si>
  <si>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</si>
  <si>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</si>
  <si>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</si>
  <si>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</si>
  <si>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</si>
  <si>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</si>
  <si>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</si>
  <si>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</si>
  <si>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</si>
  <si>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</si>
  <si>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</si>
  <si>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</si>
  <si>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</si>
  <si>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</si>
  <si>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</si>
  <si>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</si>
  <si>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</si>
  <si>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</si>
  <si>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</si>
  <si>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</si>
  <si>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</si>
  <si>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</si>
  <si>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</si>
  <si>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Eredeti ei.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</si>
  <si>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</si>
  <si>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</si>
  <si>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</si>
  <si>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</si>
  <si>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</si>
  <si>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</si>
  <si>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</si>
  <si>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</si>
  <si>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</si>
  <si>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</si>
  <si>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</si>
  <si>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</si>
  <si>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</si>
  <si>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</si>
  <si>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</si>
  <si>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</si>
  <si>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</si>
  <si>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</si>
  <si>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</si>
  <si>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</si>
  <si>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</si>
  <si>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</si>
  <si>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</si>
  <si>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</si>
  <si>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</si>
  <si>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</si>
  <si>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</si>
  <si>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</si>
  <si>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</si>
  <si>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</si>
  <si>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</si>
  <si>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</si>
  <si>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</si>
  <si>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</si>
  <si>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</si>
  <si>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</si>
  <si>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</si>
  <si>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</si>
  <si>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</si>
  <si>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</si>
  <si>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</si>
  <si>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</si>
  <si>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</si>
  <si>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</si>
  <si>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</si>
  <si>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</si>
  <si>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</si>
  <si>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BEVÉTELEK, KIADÁSOK ÖSSZEVONT MÉRLEGE</t>
  </si>
  <si>
    <t xml:space="preserve">Összesen: </t>
  </si>
  <si>
    <t xml:space="preserve">* Amennyiben több projekt megvalósítása történi egy időben akkor azokat külön-külön, projektenként be kell mutatni! </t>
  </si>
  <si>
    <t>Önkormányzati szintű</t>
  </si>
  <si>
    <t>Európai uniós támogatással megvalósuló projektek</t>
  </si>
  <si>
    <t>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</si>
  <si>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</si>
  <si>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</si>
  <si>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</si>
  <si>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</si>
  <si>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</si>
  <si>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</si>
  <si>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</si>
  <si>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Ellenőrzés az 1-es és 2.1., 2.2. mellékletek adati esetében</t>
  </si>
  <si>
    <t>I. félévi</t>
  </si>
  <si>
    <t>költségvetési tájékoztatóhoz</t>
  </si>
  <si>
    <t>Működési célú bevételek, kiadások mérlege</t>
  </si>
  <si>
    <t>Felhalmozási célú bevételek, kiadások mérlege</t>
  </si>
  <si>
    <t>Táblázatok adatainak összefüggései</t>
  </si>
  <si>
    <t>Időközi tájékoztató űrlapjainak összefüggései:</t>
  </si>
  <si>
    <t>Egyéb</t>
  </si>
  <si>
    <t>Tájékoztatató a 2021. évi költségvetés  I. féléves alakulásáról</t>
  </si>
  <si>
    <t>Balatonvilágos Község Önkormányzata</t>
  </si>
  <si>
    <t>Balatonvilágos Község Önkormányzat Gazdasági Ellátó és Vagyongazdálkodó Szervezete</t>
  </si>
  <si>
    <t>Balatonvilágosi Szivárvány Óvoda</t>
  </si>
  <si>
    <t>1.sz.mell.</t>
  </si>
  <si>
    <t>2.sz.mell.</t>
  </si>
  <si>
    <t>3.sz.mell.</t>
  </si>
  <si>
    <t>4.sz.mell.</t>
  </si>
  <si>
    <t>5.sz.mell.</t>
  </si>
  <si>
    <t>6.sz.mell.</t>
  </si>
  <si>
    <t>7.sz.mell.</t>
  </si>
  <si>
    <t>8.sz.mell.</t>
  </si>
  <si>
    <t>9.sz.mell.</t>
  </si>
  <si>
    <t>10.sz.mell.</t>
  </si>
  <si>
    <t>11.sz.mell.</t>
  </si>
  <si>
    <t>12.sz.mell.</t>
  </si>
  <si>
    <t>13.sz.mell.</t>
  </si>
  <si>
    <t>14.sz.mell.</t>
  </si>
  <si>
    <t>15.sz.mell.</t>
  </si>
  <si>
    <t>16.sz.mell.</t>
  </si>
  <si>
    <t>IB_Ellenőrzés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</si>
  <si>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</si>
  <si>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</si>
  <si>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</si>
  <si>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</si>
  <si>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bevételei,kiadásai</t>
  </si>
  <si>
    <t>Balatonvilágos Község Önkormányzat Gazdasági Ellátó és Vagyongazdálkodó Szervezete Kötelező feladatok bevételei, kiadásai</t>
  </si>
  <si>
    <t>Balatonvilágos Község Önkormányzat Gazdasági Ellátó és Vagyongazdálkodó Szervezete Önként vállalt feladatok bevételei, kiadásai</t>
  </si>
  <si>
    <t>Balatonvilágos Község Önkormányzat Gazdasági Ellátó és Vagyongazdálkodó Szervezete Államigazgatási feladatok bevételei, kiadásai</t>
  </si>
  <si>
    <t>Balatonvilágosi Szivárvány Óvoda Összes bevételei, kiadásai</t>
  </si>
  <si>
    <t>Balatonvilágosi Szivárvány Óvoda  Kötelező feladatok bevételei, kiadásai</t>
  </si>
  <si>
    <t>Balatonvilágosi Szivárvány Óvoda Önként vállalt feladatok bevételei, kiadásai</t>
  </si>
  <si>
    <t>Balatonvilágosi Szivárvány Óvoda Államigazgatási feladatok bevételei, kiadásai</t>
  </si>
  <si>
    <t>17.sz.mell.</t>
  </si>
  <si>
    <t>18.sz.mell.</t>
  </si>
  <si>
    <t>19.sz.mell.</t>
  </si>
  <si>
    <t>20.sz. mell</t>
  </si>
  <si>
    <t>21.sz.mell</t>
  </si>
  <si>
    <t>22.sz.mell.</t>
  </si>
  <si>
    <t>Önkormányzatok gyermekétkeztetési feladatainak támogatása</t>
  </si>
  <si>
    <t>Telekadó</t>
  </si>
  <si>
    <t>Adópótlék,bírság</t>
  </si>
  <si>
    <t>Kommunális adó</t>
  </si>
  <si>
    <t>4.8.</t>
  </si>
  <si>
    <t>Talajterhelés</t>
  </si>
  <si>
    <t>4.9.</t>
  </si>
  <si>
    <t>Óvoda informatikai eszközök beszerzése</t>
  </si>
  <si>
    <t>GEVSZ konyhai eszközök, szék, öltöző szekrény, grill sütő, tálcal.</t>
  </si>
  <si>
    <t>Sportpálya kerítés</t>
  </si>
  <si>
    <t>Tourinform épület kazáncsere</t>
  </si>
  <si>
    <r>
      <t>EU-s projekt neve, azonosítója:</t>
    </r>
    <r>
      <rPr>
        <sz val="12"/>
        <rFont val="Times New Roman"/>
        <family val="1"/>
      </rPr>
      <t>*</t>
    </r>
  </si>
  <si>
    <t>bevételei, kiadási, hozzájárulások</t>
  </si>
  <si>
    <t>L</t>
  </si>
  <si>
    <t>TOP-2.1.3-16-SO1-2017-00001</t>
  </si>
  <si>
    <t xml:space="preserve">   Elszámolásból származó bevételek</t>
  </si>
  <si>
    <t>2022. évi eredeti előirányzat BEVÉTELEK</t>
  </si>
  <si>
    <t>M</t>
  </si>
  <si>
    <t>N</t>
  </si>
  <si>
    <t>O</t>
  </si>
  <si>
    <t>P</t>
  </si>
  <si>
    <t>2022. I. félév</t>
  </si>
  <si>
    <t>Q=(L+M+N+O+P)</t>
  </si>
  <si>
    <t>R=(Q/C)</t>
  </si>
  <si>
    <t>2022.</t>
  </si>
  <si>
    <t>Óvoda gyermek öltöző szekrények</t>
  </si>
  <si>
    <t>Járda építése</t>
  </si>
  <si>
    <t>Szerzsámok kisértékű tárgyi eszközök beszerzése</t>
  </si>
  <si>
    <t>Tuskómarógép beszerzése</t>
  </si>
  <si>
    <t>1 db számítógép beszerzése</t>
  </si>
  <si>
    <t>Informatikai eszközök beszerzése</t>
  </si>
  <si>
    <t>Kisértékű tárgyi eszközök beszerzése (trezor)</t>
  </si>
  <si>
    <t>Közvilágítás, 2 db. Napelemes kandeláber beszerzése</t>
  </si>
  <si>
    <t>Iskola működtetés, kisértékű tárgyi eszköz beszerzése</t>
  </si>
  <si>
    <t>Házirovosi szolgálat kisértékű tárgyi eszköz beszerzés</t>
  </si>
  <si>
    <t>Könyvtár könyv beszerzése</t>
  </si>
  <si>
    <t>Könyvtár klíma és nyomtató beszerzése</t>
  </si>
  <si>
    <t>Művelődési ház szennyvízrendszer leválasztása</t>
  </si>
  <si>
    <t>Kisértékű tárgyi eszközök beszerzése (anyakönyv)</t>
  </si>
  <si>
    <t>Kommunálisadó</t>
  </si>
  <si>
    <t>Egyéb közhatalmi bevétel</t>
  </si>
  <si>
    <t>Tartózkodás után fizetett idegenforgalmi adó</t>
  </si>
  <si>
    <t>Adópótlék, bírság</t>
  </si>
  <si>
    <t>Visszafizetendő támogatás</t>
  </si>
  <si>
    <t>Balatonvilágos 2022.09.09.</t>
  </si>
  <si>
    <t>Államháztartáson belüli megelőlegezés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</si>
  <si>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</si>
  <si>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</si>
  <si>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</si>
  <si>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</si>
  <si>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</si>
  <si>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</si>
  <si>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MFP-BJA/2022 Járda felújítás terv</t>
  </si>
  <si>
    <t>MFP-TFB/2022 Tanya és Falugondnoki buszok beszerzése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</si>
  <si>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</si>
  <si>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</si>
  <si>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</si>
  <si>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</si>
  <si>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Sorompó 295/1 hrsz</t>
  </si>
  <si>
    <t>Kistelepülési önk. Rendezvények eszköz beszerzés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</si>
</sst>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9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0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8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9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9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9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left" vertical="center"/>
    </xf>
    <xf numFmtId="3" fontId="13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1" xfId="0" applyNumberFormat="1" applyFont="1" applyFill="1" applyBorder="1" applyAlignment="1" quotePrefix="1">
      <alignment horizontal="left" vertical="center" indent="1"/>
    </xf>
    <xf numFmtId="49" fontId="13" fillId="0" borderId="6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4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5" xfId="0" applyNumberFormat="1" applyFont="1" applyFill="1" applyBorder="1" applyAlignment="1" applyProtection="1">
      <alignment vertical="center"/>
      <protection locked="0"/>
    </xf>
    <xf numFmtId="49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4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4" xfId="0" applyNumberFormat="1" applyFont="1" applyFill="1" applyBorder="1" applyAlignment="1">
      <alignment horizontal="right" vertical="center" wrapText="1"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68" xfId="0" applyFont="1" applyBorder="1" applyAlignment="1">
      <alignment vertical="center" wrapText="1"/>
    </xf>
    <xf numFmtId="0" fontId="28" fillId="0" borderId="0" xfId="0" applyFont="1" applyFill="1" applyAlignment="1" applyProtection="1">
      <alignment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right" vertical="center" wrapText="1" indent="1"/>
      <protection/>
    </xf>
    <xf numFmtId="3" fontId="29" fillId="0" borderId="69" xfId="0" applyNumberFormat="1" applyFont="1" applyFill="1" applyBorder="1" applyAlignment="1" applyProtection="1">
      <alignment horizontal="right" vertical="center"/>
      <protection locked="0"/>
    </xf>
    <xf numFmtId="3" fontId="2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0" xfId="0" applyNumberFormat="1" applyFont="1" applyFill="1" applyBorder="1" applyAlignment="1">
      <alignment horizontal="right" vertical="center" wrapText="1"/>
    </xf>
    <xf numFmtId="3" fontId="31" fillId="0" borderId="42" xfId="0" applyNumberFormat="1" applyFont="1" applyFill="1" applyBorder="1" applyAlignment="1" applyProtection="1">
      <alignment horizontal="right" vertical="center"/>
      <protection locked="0"/>
    </xf>
    <xf numFmtId="3" fontId="31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2" xfId="0" applyNumberFormat="1" applyFont="1" applyFill="1" applyBorder="1" applyAlignment="1">
      <alignment horizontal="right" vertical="center" wrapText="1"/>
    </xf>
    <xf numFmtId="4" fontId="30" fillId="0" borderId="42" xfId="0" applyNumberFormat="1" applyFont="1" applyFill="1" applyBorder="1" applyAlignment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  <protection locked="0"/>
    </xf>
    <xf numFmtId="3" fontId="2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63" xfId="0" applyNumberFormat="1" applyFont="1" applyFill="1" applyBorder="1" applyAlignment="1" applyProtection="1">
      <alignment horizontal="right" vertical="center"/>
      <protection locked="0"/>
    </xf>
    <xf numFmtId="3" fontId="29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66" xfId="0" applyNumberFormat="1" applyFont="1" applyFill="1" applyBorder="1" applyAlignment="1">
      <alignment horizontal="right" vertical="center" wrapText="1"/>
    </xf>
    <xf numFmtId="164" fontId="30" fillId="0" borderId="44" xfId="0" applyNumberFormat="1" applyFont="1" applyFill="1" applyBorder="1" applyAlignment="1">
      <alignment vertical="center"/>
    </xf>
    <xf numFmtId="4" fontId="29" fillId="0" borderId="44" xfId="0" applyNumberFormat="1" applyFont="1" applyFill="1" applyBorder="1" applyAlignment="1" applyProtection="1">
      <alignment vertical="center" wrapText="1"/>
      <protection locked="0"/>
    </xf>
    <xf numFmtId="3" fontId="32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9" xfId="0" applyNumberFormat="1" applyFont="1" applyFill="1" applyBorder="1" applyAlignment="1" applyProtection="1">
      <alignment horizontal="right" vertical="center"/>
      <protection locked="0"/>
    </xf>
    <xf numFmtId="3" fontId="3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0" xfId="0" applyNumberFormat="1" applyFont="1" applyFill="1" applyBorder="1" applyAlignment="1">
      <alignment horizontal="right" vertical="center" wrapText="1"/>
    </xf>
    <xf numFmtId="4" fontId="33" fillId="0" borderId="42" xfId="0" applyNumberFormat="1" applyFont="1" applyFill="1" applyBorder="1" applyAlignment="1">
      <alignment horizontal="right" vertical="center" wrapText="1"/>
    </xf>
    <xf numFmtId="3" fontId="32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66" xfId="0" applyNumberFormat="1" applyFont="1" applyFill="1" applyBorder="1" applyAlignment="1">
      <alignment horizontal="right" vertical="center" wrapText="1"/>
    </xf>
    <xf numFmtId="164" fontId="33" fillId="0" borderId="44" xfId="0" applyNumberFormat="1" applyFont="1" applyFill="1" applyBorder="1" applyAlignment="1">
      <alignment vertical="center"/>
    </xf>
    <xf numFmtId="4" fontId="32" fillId="0" borderId="44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70" xfId="60" applyFont="1" applyFill="1" applyBorder="1" applyAlignment="1" applyProtection="1">
      <alignment horizontal="center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wrapTex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 quotePrefix="1">
      <alignment horizontal="right" vertical="center" indent="1"/>
      <protection locked="0"/>
    </xf>
    <xf numFmtId="49" fontId="6" fillId="0" borderId="44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 vertical="top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top" wrapText="1"/>
    </xf>
    <xf numFmtId="0" fontId="36" fillId="0" borderId="0" xfId="0" applyFont="1" applyAlignment="1">
      <alignment/>
    </xf>
    <xf numFmtId="0" fontId="75" fillId="0" borderId="0" xfId="52" applyAlignment="1" applyProtection="1">
      <alignment/>
      <protection/>
    </xf>
    <xf numFmtId="0" fontId="19" fillId="0" borderId="0" xfId="0" applyFont="1" applyAlignment="1" applyProtection="1">
      <alignment horizontal="center"/>
      <protection locked="0"/>
    </xf>
    <xf numFmtId="164" fontId="87" fillId="0" borderId="0" xfId="60" applyNumberFormat="1" applyFont="1" applyFill="1" applyAlignment="1" applyProtection="1">
      <alignment horizontal="right" vertical="center" indent="1"/>
      <protection/>
    </xf>
    <xf numFmtId="164" fontId="88" fillId="0" borderId="0" xfId="0" applyNumberFormat="1" applyFont="1" applyFill="1" applyAlignment="1" applyProtection="1">
      <alignment horizontal="right" vertical="center" wrapText="1" indent="1"/>
      <protection/>
    </xf>
    <xf numFmtId="0" fontId="8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Alignment="1" applyProtection="1">
      <alignment horizontal="right" vertical="top"/>
      <protection locked="0"/>
    </xf>
    <xf numFmtId="0" fontId="3" fillId="35" borderId="0" xfId="0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36" fillId="0" borderId="0" xfId="0" applyFont="1" applyAlignment="1">
      <alignment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6" fillId="36" borderId="11" xfId="0" applyFont="1" applyFill="1" applyBorder="1" applyAlignment="1" applyProtection="1">
      <alignment horizontal="left" wrapText="1" indent="1"/>
      <protection/>
    </xf>
    <xf numFmtId="0" fontId="16" fillId="36" borderId="12" xfId="0" applyFont="1" applyFill="1" applyBorder="1" applyAlignment="1" applyProtection="1">
      <alignment horizontal="left" wrapText="1" indent="1"/>
      <protection/>
    </xf>
    <xf numFmtId="0" fontId="16" fillId="36" borderId="15" xfId="0" applyFont="1" applyFill="1" applyBorder="1" applyAlignment="1" applyProtection="1">
      <alignment horizontal="left" indent="1"/>
      <protection/>
    </xf>
    <xf numFmtId="164" fontId="13" fillId="3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36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36" borderId="15" xfId="0" applyFont="1" applyFill="1" applyBorder="1" applyAlignment="1" applyProtection="1">
      <alignment horizontal="left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70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70" xfId="0" applyNumberFormat="1" applyFont="1" applyFill="1" applyBorder="1" applyAlignment="1" applyProtection="1">
      <alignment vertical="center" wrapText="1"/>
      <protection/>
    </xf>
    <xf numFmtId="3" fontId="32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48" xfId="0" applyNumberFormat="1" applyFont="1" applyFill="1" applyBorder="1" applyAlignment="1" applyProtection="1">
      <alignment horizontal="righ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7" fillId="0" borderId="0" xfId="60" applyFont="1" applyFill="1" applyProtection="1">
      <alignment/>
      <protection/>
    </xf>
    <xf numFmtId="0" fontId="90" fillId="0" borderId="0" xfId="0" applyFont="1" applyBorder="1" applyAlignment="1" applyProtection="1">
      <alignment horizontal="left" vertical="center" wrapText="1" indent="1"/>
      <protection/>
    </xf>
    <xf numFmtId="0" fontId="91" fillId="0" borderId="0" xfId="0" applyFont="1" applyBorder="1" applyAlignment="1" applyProtection="1">
      <alignment horizontal="left" vertical="center" wrapText="1" indent="1"/>
      <protection/>
    </xf>
    <xf numFmtId="164" fontId="91" fillId="0" borderId="0" xfId="0" applyNumberFormat="1" applyFont="1" applyBorder="1" applyAlignment="1" applyProtection="1" quotePrefix="1">
      <alignment horizontal="right" vertical="center" wrapText="1" indent="1"/>
      <protection/>
    </xf>
    <xf numFmtId="3" fontId="29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Fill="1" applyBorder="1" applyAlignment="1">
      <alignment vertical="center" wrapText="1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64" xfId="0" applyNumberFormat="1" applyFont="1" applyFill="1" applyBorder="1" applyAlignment="1">
      <alignment vertical="center"/>
    </xf>
    <xf numFmtId="164" fontId="33" fillId="0" borderId="35" xfId="0" applyNumberFormat="1" applyFont="1" applyFill="1" applyBorder="1" applyAlignment="1">
      <alignment vertical="center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0" fontId="92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9" fillId="35" borderId="0" xfId="0" applyFont="1" applyFill="1" applyAlignment="1" applyProtection="1">
      <alignment horizontal="center"/>
      <protection locked="0"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9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0" fontId="6" fillId="0" borderId="74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93" fillId="0" borderId="65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12" fillId="0" borderId="58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center" wrapText="1"/>
    </xf>
    <xf numFmtId="164" fontId="12" fillId="0" borderId="64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textRotation="180"/>
    </xf>
    <xf numFmtId="164" fontId="4" fillId="0" borderId="30" xfId="0" applyNumberFormat="1" applyFont="1" applyFill="1" applyBorder="1" applyAlignment="1" applyProtection="1">
      <alignment horizontal="right" vertical="center"/>
      <protection locked="0"/>
    </xf>
    <xf numFmtId="164" fontId="6" fillId="0" borderId="7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/>
    </xf>
    <xf numFmtId="173" fontId="27" fillId="0" borderId="65" xfId="0" applyNumberFormat="1" applyFon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4" fillId="0" borderId="30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center" vertical="center" wrapText="1"/>
    </xf>
    <xf numFmtId="164" fontId="3" fillId="0" borderId="67" xfId="0" applyNumberFormat="1" applyFont="1" applyFill="1" applyBorder="1" applyAlignment="1">
      <alignment horizontal="center" vertical="center" wrapText="1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3" fillId="0" borderId="64" xfId="0" applyNumberFormat="1" applyFont="1" applyFill="1" applyBorder="1" applyAlignment="1">
      <alignment horizontal="left" vertical="center" wrapText="1" indent="2"/>
    </xf>
    <xf numFmtId="164" fontId="3" fillId="0" borderId="67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58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right" vertical="top"/>
      <protection locked="0"/>
    </xf>
    <xf numFmtId="0" fontId="2" fillId="0" borderId="30" xfId="0" applyFont="1" applyBorder="1" applyAlignment="1" applyProtection="1">
      <alignment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" wrapText="1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rsz&#225;mad&#225;s%202020\Z&#193;RSZ&#193;M_2020%20Test&#252;letnek%20mell&#233;klet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IDOKBESZ%202022%20I.%20f&#233;l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%20jav&#237;tott%20IDOKBESZ%202022%20I.%20f&#233;l&#233;v%20Tes&#252;letn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22%20K&#246;lts&#233;gvet&#233;s%20m&#243;dos&#237;t&#225;s%20II\RENDMOD%202022%20II.%20m&#243;dos&#237;t&#225;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Z_1.tájékoztató_t."/>
      <sheetName val="Z_2.tájékoztató_t."/>
      <sheetName val="Z_3.tájékoztató_t."/>
      <sheetName val="Z_4.tájékoztató_t."/>
      <sheetName val="Z_5.1.tájékoztató_t."/>
      <sheetName val="Z_5.2.tájékoztató_t."/>
      <sheetName val="Z_5.3.tájékoztató_t."/>
      <sheetName val="Z_6.tájékoztató_t."/>
      <sheetName val="Z_7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11">
        <row r="4">
          <cell r="G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ELLENŐRZÉS"/>
      <sheetName val="1.sz.mell."/>
      <sheetName val="2.sz.mell."/>
      <sheetName val="3.sz.mell."/>
      <sheetName val="4.sz.mell"/>
      <sheetName val="5.sz.mell."/>
      <sheetName val="6.sz.mell"/>
      <sheetName val="7.sz.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sz.mell."/>
      <sheetName val="16.sz.mell."/>
      <sheetName val="17.sz.mell."/>
      <sheetName val="18.sz.mell."/>
      <sheetName val="19.sz.mell."/>
      <sheetName val="20.sz.mell."/>
      <sheetName val="21.sz.mell."/>
      <sheetName val="22.sz.mell."/>
    </sheetNames>
    <sheetDataSet>
      <sheetData sheetId="1">
        <row r="7">
          <cell r="B7" t="str">
            <v>a</v>
          </cell>
          <cell r="C7">
            <v>2022</v>
          </cell>
          <cell r="D7" t="str">
            <v>I. félévi</v>
          </cell>
          <cell r="E7" t="str">
            <v>költségvetési tájékoztatóhoz</v>
          </cell>
        </row>
        <row r="11">
          <cell r="B11" t="str">
            <v>Balatonvilágos Község Önkormányzat Gazdasági Ellátó és Vagyongazdálkodó Szervezete</v>
          </cell>
        </row>
      </sheetData>
      <sheetData sheetId="2">
        <row r="6">
          <cell r="A6" t="str">
            <v>2022. évi eredeti előirányzat BEVÉTELEK</v>
          </cell>
        </row>
      </sheetData>
      <sheetData sheetId="16">
        <row r="4">
          <cell r="E4" t="str">
            <v> Forintban!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  <sheetData sheetId="18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_TARTALOMJEGYZÉK"/>
      <sheetName val="IB_ALAPADATOK"/>
      <sheetName val="IB_ÖSSZEFÜGGÉSEK"/>
      <sheetName val="IB_ELLENŐRZÉS"/>
      <sheetName val="1.sz.mell."/>
      <sheetName val="2.sz.mell."/>
      <sheetName val="3.sz.mell."/>
      <sheetName val="4.sz.mell"/>
      <sheetName val="5.sz.mell."/>
      <sheetName val="6.sz.mell"/>
      <sheetName val="7.sz.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sz.mell."/>
      <sheetName val="16.sz.mell."/>
      <sheetName val="17.sz.mell."/>
      <sheetName val="18.sz.mell."/>
      <sheetName val="19.sz.mell."/>
      <sheetName val="20.sz.mell."/>
      <sheetName val="21.sz.mell."/>
      <sheetName val="22.sz.mell."/>
    </sheetNames>
    <sheetDataSet>
      <sheetData sheetId="1">
        <row r="7">
          <cell r="B7" t="str">
            <v>a</v>
          </cell>
          <cell r="C7">
            <v>2022</v>
          </cell>
          <cell r="D7" t="str">
            <v>I. félévi</v>
          </cell>
          <cell r="E7" t="str">
            <v>költségvetési tájékoztatóhoz</v>
          </cell>
        </row>
        <row r="13">
          <cell r="B13" t="str">
            <v>Balatonvilágosi Szivárvány Óvoda</v>
          </cell>
        </row>
      </sheetData>
      <sheetData sheetId="2">
        <row r="6">
          <cell r="A6" t="str">
            <v>2022. évi eredeti előirányzat BEVÉTELEK</v>
          </cell>
        </row>
      </sheetData>
      <sheetData sheetId="20">
        <row r="4">
          <cell r="E4" t="str">
            <v> Forintban!</v>
          </cell>
        </row>
      </sheetData>
      <sheetData sheetId="21">
        <row r="2">
          <cell r="B2" t="str">
            <v>Balatonvilágosi Szivárvány Óvoda</v>
          </cell>
        </row>
        <row r="4">
          <cell r="E4" t="str">
            <v> Forintban!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M_ALAPADATOK"/>
      <sheetName val="RM_TARTALOMJEGYZÉK"/>
      <sheetName val="1.sz.mell."/>
      <sheetName val="2.sz.mell."/>
      <sheetName val="3.sz.mell."/>
      <sheetName val="4.sz.mell."/>
      <sheetName val="5.sz.mell."/>
      <sheetName val="6.sz.mell."/>
      <sheetName val="7.sz.mell."/>
      <sheetName val="8.sz.mell."/>
      <sheetName val="9.sz.mell"/>
      <sheetName val="10.sz.mell"/>
      <sheetName val="11.sz.mell"/>
      <sheetName val="12.sz.mell"/>
      <sheetName val="13.sz.mell"/>
      <sheetName val="14.sz.mell"/>
      <sheetName val="15.sz.mell"/>
      <sheetName val="16.sz.mell"/>
      <sheetName val="17.sz.mell"/>
      <sheetName val="18.sz.mell"/>
      <sheetName val="19.sz.mell"/>
      <sheetName val="20.sz.mell"/>
      <sheetName val="21.sz.mell"/>
      <sheetName val="RM_ELLENŐRZÉS"/>
      <sheetName val="RM_ÖSSZEFÜGGÉSEK"/>
    </sheetNames>
    <sheetDataSet>
      <sheetData sheetId="24">
        <row r="6">
          <cell r="A6" t="str">
            <v>2022.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zoomScale="120" zoomScaleNormal="120" zoomScalePageLayoutView="0" workbookViewId="0" topLeftCell="A1">
      <selection activeCell="C31" sqref="C31"/>
    </sheetView>
  </sheetViews>
  <sheetFormatPr defaultColWidth="9.00390625" defaultRowHeight="12.75"/>
  <cols>
    <col min="1" max="1" width="28.50390625" style="0" customWidth="1"/>
    <col min="2" max="2" width="115.50390625" style="0" customWidth="1"/>
    <col min="3" max="3" width="32.625" style="0" customWidth="1"/>
  </cols>
  <sheetData>
    <row r="2" spans="1:3" ht="17.25">
      <c r="A2" s="528" t="s">
        <v>524</v>
      </c>
      <c r="B2" s="528"/>
      <c r="C2" s="528"/>
    </row>
    <row r="3" spans="1:3" ht="13.5">
      <c r="A3" s="439"/>
      <c r="B3" s="440"/>
      <c r="C3" s="439"/>
    </row>
    <row r="4" spans="1:3" ht="13.5">
      <c r="A4" s="441" t="s">
        <v>525</v>
      </c>
      <c r="B4" s="442" t="s">
        <v>526</v>
      </c>
      <c r="C4" s="441" t="s">
        <v>527</v>
      </c>
    </row>
    <row r="5" spans="1:3" ht="12.75">
      <c r="A5" s="443"/>
      <c r="B5" s="443"/>
      <c r="C5" s="443"/>
    </row>
    <row r="6" spans="1:3" ht="17.25">
      <c r="A6" s="529" t="str">
        <f>CONCATENATE("IDŐKÖZI (",UPPER(IB_ALAPADATOK!D8)," BESZÁMOLÓ) TÁJÉKOZTATÓ")</f>
        <v>IDŐKÖZI (I. FÉLÉVES BESZÁMOLÓ) TÁJÉKOZTATÓ</v>
      </c>
      <c r="B6" s="529"/>
      <c r="C6" s="529"/>
    </row>
    <row r="7" spans="1:3" ht="12.75">
      <c r="A7" s="443" t="s">
        <v>528</v>
      </c>
      <c r="B7" s="443" t="s">
        <v>529</v>
      </c>
      <c r="C7" s="444" t="str">
        <f ca="1">HYPERLINK(SUBSTITUTE(CELL("address",IB_ALAPADATOK!B1),"'",""),SUBSTITUTE(MID(CELL("address",IB_ALAPADATOK!B1),SEARCH("]",CELL("address",IB_ALAPADATOK!B1),1)+1,LEN(CELL("address",IB_ALAPADATOK!B1))-SEARCH("]",CELL("address",IB_ALAPADATOK!B1),1)),"'",""))</f>
        <v>IB_ALAPADATOK!$B$1</v>
      </c>
    </row>
    <row r="8" spans="1:3" ht="12.75">
      <c r="A8" s="443" t="s">
        <v>530</v>
      </c>
      <c r="B8" s="443" t="s">
        <v>536</v>
      </c>
      <c r="C8" s="444" t="str">
        <f ca="1">HYPERLINK(SUBSTITUTE(CELL("address",IB_ÖSSZEFÜGGÉSEK!A1),"'",""),SUBSTITUTE(MID(CELL("address",IB_ÖSSZEFÜGGÉSEK!A1),SEARCH("]",CELL("address",IB_ÖSSZEFÜGGÉSEK!A1),1)+1,LEN(CELL("address",IB_ÖSSZEFÜGGÉSEK!A1))-SEARCH("]",CELL("address",IB_ÖSSZEFÜGGÉSEK!A1),1)),"'",""))</f>
        <v>IB_ÖSSZEFÜGGÉSEK!$A$1</v>
      </c>
    </row>
    <row r="9" spans="1:3" ht="12.75">
      <c r="A9" s="443" t="s">
        <v>559</v>
      </c>
      <c r="B9" s="443" t="s">
        <v>531</v>
      </c>
      <c r="C9" s="444" t="str">
        <f ca="1">HYPERLINK(SUBSTITUTE(CELL("address",IB_ELLENŐRZÉS!A1),"'",""),SUBSTITUTE(MID(CELL("address",IB_ELLENŐRZÉS!A1),SEARCH("]",CELL("address",IB_ELLENŐRZÉS!A1),1)+1,LEN(CELL("address",IB_ELLENŐRZÉS!A1))-SEARCH("]",CELL("address",IB_ELLENŐRZÉS!A1),1)),"'",""))</f>
        <v>IB_ELLENŐRZÉS!$A$1</v>
      </c>
    </row>
    <row r="10" spans="1:3" ht="12.75">
      <c r="A10" s="443" t="s">
        <v>543</v>
      </c>
      <c r="B10" s="443" t="str">
        <f>CONCATENATE('1.sz.mell.'!A3)</f>
        <v>Tájékoztatató a 2022 évi költségvetés  I. féléves alakulásáról</v>
      </c>
      <c r="C10" s="444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1" spans="1:3" ht="12.75">
      <c r="A11" s="443" t="s">
        <v>544</v>
      </c>
      <c r="B11" s="443" t="str">
        <f>'2.sz.mell.'!A3</f>
        <v>Tájékoztatató a 2021. évi költségvetés  I. féléves alakulásáról</v>
      </c>
      <c r="C11" s="444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2" spans="1:3" ht="12.75">
      <c r="A12" s="443" t="s">
        <v>545</v>
      </c>
      <c r="B12" s="443" t="str">
        <f>'3.sz.mell.'!A3</f>
        <v>Tájékoztatató a 2022 évi költségvetés  I. féléves alakulásáról</v>
      </c>
      <c r="C12" s="444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3" spans="1:3" ht="12.75">
      <c r="A13" s="443" t="s">
        <v>546</v>
      </c>
      <c r="B13" s="443" t="str">
        <f>'4.sz.mell'!A3</f>
        <v>Tájékoztatató a 2022 évi költségvetés  I. féléves alakulásáról</v>
      </c>
      <c r="C13" s="444" t="str">
        <f ca="1">HYPERLINK(SUBSTITUTE(CELL("address",'4.sz.mell'!A1),"'",""),SUBSTITUTE(MID(CELL("address",'4.sz.mell'!A1),SEARCH("]",CELL("address",'4.sz.mell'!A1),1)+1,LEN(CELL("address",'4.sz.mell'!A1))-SEARCH("]",CELL("address",'4.sz.mell'!A1),1)),"'",""))</f>
        <v>4.sz.mell!$A$1</v>
      </c>
    </row>
    <row r="14" spans="1:3" ht="12.75">
      <c r="A14" s="443" t="s">
        <v>547</v>
      </c>
      <c r="B14" s="443" t="s">
        <v>534</v>
      </c>
      <c r="C14" s="444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5" spans="1:3" ht="12.75">
      <c r="A15" s="443" t="s">
        <v>548</v>
      </c>
      <c r="B15" s="443" t="s">
        <v>535</v>
      </c>
      <c r="C15" s="444" t="str">
        <f ca="1">HYPERLINK(SUBSTITUTE(CELL("address",'6.sz.mell'!A1),"'",""),SUBSTITUTE(MID(CELL("address",'6.sz.mell'!A1),SEARCH("]",CELL("address",'6.sz.mell'!A1),1)+1,LEN(CELL("address",'6.sz.mell'!A1))-SEARCH("]",CELL("address",'6.sz.mell'!A1),1)),"'",""))</f>
        <v>6.sz.mell!$A$1</v>
      </c>
    </row>
    <row r="16" spans="1:3" ht="12.75">
      <c r="A16" s="443" t="s">
        <v>549</v>
      </c>
      <c r="B16" s="443" t="s">
        <v>0</v>
      </c>
      <c r="C16" s="444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43" t="s">
        <v>550</v>
      </c>
      <c r="B17" s="443" t="s">
        <v>1</v>
      </c>
      <c r="C17" s="444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43" t="s">
        <v>551</v>
      </c>
      <c r="B18" s="443" t="str">
        <f>'9.sz.mell.'!A2</f>
        <v>Európai uniós támogatással megvalósuló projektek</v>
      </c>
      <c r="C18" s="444" t="str">
        <f ca="1">HYPERLINK(SUBSTITUTE(CELL("address",'9.sz.mell.'!A1),"'",""),SUBSTITUTE(MID(CELL("address",'9.sz.mell.'!A1),SEARCH("]",CELL("address",'9.sz.mell.'!A1),1)+1,LEN(CELL("address",'9.sz.mell.'!A1))-SEARCH("]",CELL("address",'9.sz.mell.'!A1),1)),"'",""))</f>
        <v>9.sz.mell.!$A$1</v>
      </c>
    </row>
    <row r="19" spans="1:3" ht="12.75">
      <c r="A19" s="443" t="s">
        <v>552</v>
      </c>
      <c r="B19" s="443" t="s">
        <v>560</v>
      </c>
      <c r="C19" s="444" t="str">
        <f ca="1">HYPERLINK(SUBSTITUTE(CELL("address",'10.sz.mell.'!A1),"'",""),SUBSTITUTE(MID(CELL("address",'10.sz.mell.'!A1),SEARCH("]",CELL("address",'10.sz.mell.'!A1),1)+1,LEN(CELL("address",'10.sz.mell.'!A1))-SEARCH("]",CELL("address",'10.sz.mell.'!A1),1)),"'",""))</f>
        <v>10.sz.mell.!$A$1</v>
      </c>
    </row>
    <row r="20" spans="1:3" ht="12.75">
      <c r="A20" s="443" t="s">
        <v>553</v>
      </c>
      <c r="B20" s="443" t="s">
        <v>561</v>
      </c>
      <c r="C20" s="444" t="str">
        <f ca="1">HYPERLINK(SUBSTITUTE(CELL("address",'11.sz.mell.'!A1),"'",""),SUBSTITUTE(MID(CELL("address",'11.sz.mell.'!A1),SEARCH("]",CELL("address",'11.sz.mell.'!A1),1)+1,LEN(CELL("address",'11.sz.mell.'!A1))-SEARCH("]",CELL("address",'11.sz.mell.'!A1),1)),"'",""))</f>
        <v>11.sz.mell.!$A$1</v>
      </c>
    </row>
    <row r="21" spans="1:3" ht="12.75">
      <c r="A21" s="443" t="s">
        <v>554</v>
      </c>
      <c r="B21" s="443" t="s">
        <v>562</v>
      </c>
      <c r="C21" s="444" t="str">
        <f ca="1">HYPERLINK(SUBSTITUTE(CELL("address",'12.sz.mell.'!A1),"'",""),SUBSTITUTE(MID(CELL("address",'12.sz.mell.'!A1),SEARCH("]",CELL("address",'12.sz.mell.'!A1),1)+1,LEN(CELL("address",'12.sz.mell.'!A1))-SEARCH("]",CELL("address",'12.sz.mell.'!A1),1)),"'",""))</f>
        <v>12.sz.mell.!$A$1</v>
      </c>
    </row>
    <row r="22" spans="1:3" ht="12.75">
      <c r="A22" s="443" t="s">
        <v>555</v>
      </c>
      <c r="B22" s="443" t="s">
        <v>563</v>
      </c>
      <c r="C22" s="444" t="str">
        <f ca="1">HYPERLINK(SUBSTITUTE(CELL("address",'13.sz.mell.'!A1),"'",""),SUBSTITUTE(MID(CELL("address",'13.sz.mell.'!A1),SEARCH("]",CELL("address",'13.sz.mell.'!A1),1)+1,LEN(CELL("address",'13.sz.mell.'!A1))-SEARCH("]",CELL("address",'13.sz.mell.'!A1),1)),"'",""))</f>
        <v>13.sz.mell.!$A$1</v>
      </c>
    </row>
    <row r="23" spans="1:3" ht="12.75">
      <c r="A23" s="443" t="s">
        <v>556</v>
      </c>
      <c r="B23" s="443" t="s">
        <v>564</v>
      </c>
      <c r="C23" s="444" t="str">
        <f ca="1">HYPERLINK(SUBSTITUTE(CELL("address",'14.sz.mell.'!A1),"'",""),SUBSTITUTE(MID(CELL("address",'14.sz.mell.'!A1),SEARCH("]",CELL("address",'14.sz.mell.'!A1),1)+1,LEN(CELL("address",'14.sz.mell.'!A1))-SEARCH("]",CELL("address",'14.sz.mell.'!A1),1)),"'",""))</f>
        <v>14.sz.mell.!$A$1</v>
      </c>
    </row>
    <row r="24" spans="1:3" ht="12.75">
      <c r="A24" s="443" t="s">
        <v>557</v>
      </c>
      <c r="B24" s="443" t="s">
        <v>565</v>
      </c>
      <c r="C24" s="444" t="str">
        <f ca="1">HYPERLINK(SUBSTITUTE(CELL("address",'15.sz.mell.'!A1),"'",""),SUBSTITUTE(MID(CELL("address",'15.sz.mell.'!A1),SEARCH("]",CELL("address",'15.sz.mell.'!A1),1)+1,LEN(CELL("address",'15.sz.mell.'!A1))-SEARCH("]",CELL("address",'15.sz.mell.'!A1),1)),"'",""))</f>
        <v>15.sz.mell.!$A$1</v>
      </c>
    </row>
    <row r="25" spans="1:3" ht="12.75">
      <c r="A25" s="443" t="s">
        <v>558</v>
      </c>
      <c r="B25" s="443" t="s">
        <v>566</v>
      </c>
      <c r="C25" s="444" t="str">
        <f ca="1">HYPERLINK(SUBSTITUTE(CELL("address",'16.sz.mell.'!A1),"'",""),SUBSTITUTE(MID(CELL("address",'16.sz.mell.'!A1),SEARCH("]",CELL("address",'16.sz.mell.'!A1),1)+1,LEN(CELL("address",'16.sz.mell.'!A1))-SEARCH("]",CELL("address",'16.sz.mell.'!A1),1)),"'",""))</f>
        <v>16.sz.mell.!$A$1</v>
      </c>
    </row>
    <row r="26" spans="1:3" ht="12.75">
      <c r="A26" s="443" t="s">
        <v>572</v>
      </c>
      <c r="B26" s="443" t="s">
        <v>567</v>
      </c>
      <c r="C26" s="444" t="str">
        <f ca="1">HYPERLINK(SUBSTITUTE(CELL("address",'17.sz.mell.'!A1),"'",""),SUBSTITUTE(MID(CELL("address",'17.sz.mell.'!A1),SEARCH("]",CELL("address",'17.sz.mell.'!A1),1)+1,LEN(CELL("address",'17.sz.mell.'!A1))-SEARCH("]",CELL("address",'17.sz.mell.'!A1),1)),"'",""))</f>
        <v>17.sz.mell.!$A$1</v>
      </c>
    </row>
    <row r="27" spans="1:3" ht="12.75">
      <c r="A27" s="443" t="s">
        <v>573</v>
      </c>
      <c r="B27" s="443" t="s">
        <v>568</v>
      </c>
      <c r="C27" s="444" t="str">
        <f ca="1">HYPERLINK(SUBSTITUTE(CELL("address",'18.sz.mell.'!A1),"'",""),SUBSTITUTE(MID(CELL("address",'18.sz.mell.'!A1),SEARCH("]",CELL("address",'18.sz.mell.'!A1),1)+1,LEN(CELL("address",'18.sz.mell.'!A1))-SEARCH("]",CELL("address",'18.sz.mell.'!A1),1)),"'",""))</f>
        <v>18.sz.mell.!$A$1</v>
      </c>
    </row>
    <row r="28" spans="1:3" ht="12.75">
      <c r="A28" s="443" t="s">
        <v>574</v>
      </c>
      <c r="B28" s="443" t="s">
        <v>569</v>
      </c>
      <c r="C28" s="444" t="str">
        <f ca="1">HYPERLINK(SUBSTITUTE(CELL("address",'19.sz.mell.'!A1),"'",""),SUBSTITUTE(MID(CELL("address",'19.sz.mell.'!A1),SEARCH("]",CELL("address",'19.sz.mell.'!A1),1)+1,LEN(CELL("address",'19.sz.mell.'!A1))-SEARCH("]",CELL("address",'19.sz.mell.'!A1),1)),"'",""))</f>
        <v>19.sz.mell.!$A$1</v>
      </c>
    </row>
    <row r="29" spans="1:3" ht="12.75">
      <c r="A29" s="443" t="s">
        <v>575</v>
      </c>
      <c r="B29" s="443" t="s">
        <v>570</v>
      </c>
      <c r="C29" s="444" t="str">
        <f ca="1">HYPERLINK(SUBSTITUTE(CELL("address",'20.sz.mell.'!A1),"'",""),SUBSTITUTE(MID(CELL("address",'20.sz.mell.'!A1),SEARCH("]",CELL("address",'20.sz.mell.'!A1),1)+1,LEN(CELL("address",'20.sz.mell.'!A1))-SEARCH("]",CELL("address",'20.sz.mell.'!A1),1)),"'",""))</f>
        <v>20.sz.mell.!$A$1</v>
      </c>
    </row>
    <row r="30" spans="1:3" ht="12.75">
      <c r="A30" s="443" t="s">
        <v>576</v>
      </c>
      <c r="B30" s="443" t="s">
        <v>571</v>
      </c>
      <c r="C30" s="444" t="str">
        <f ca="1">HYPERLINK(SUBSTITUTE(CELL("address",'21.sz.mell.'!A1),"'",""),SUBSTITUTE(MID(CELL("address",'21.sz.mell.'!A1),SEARCH("]",CELL("address",'21.sz.mell.'!A1),1)+1,LEN(CELL("address",'21.sz.mell.'!A1))-SEARCH("]",CELL("address",'21.sz.mell.'!A1),1)),"'",""))</f>
        <v>21.sz.mell.!$A$1</v>
      </c>
    </row>
    <row r="31" spans="1:3" ht="15.75" customHeight="1">
      <c r="A31" s="443" t="s">
        <v>577</v>
      </c>
      <c r="B31" s="453" t="s">
        <v>3</v>
      </c>
      <c r="C31" s="444" t="str">
        <f ca="1">HYPERLINK(SUBSTITUTE(CELL("address",'22.sz.mell.'!A1),"'",""),SUBSTITUTE(MID(CELL("address",'21.sz.mell.'!A1),SEARCH("]",CELL("address",'21.sz.mell.'!A1),1)+1,LEN(CELL("address",'21.sz.mell.'!A1))-SEARCH("]",CELL("address",'21.sz.mell.'!A1),1)),"'",""))</f>
        <v>21.sz.mell.!$A$1</v>
      </c>
    </row>
  </sheetData>
  <sheetProtection/>
  <mergeCells count="2">
    <mergeCell ref="A2:C2"/>
    <mergeCell ref="A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4">
      <selection activeCell="C31" sqref="C31"/>
    </sheetView>
  </sheetViews>
  <sheetFormatPr defaultColWidth="9.375" defaultRowHeight="12.75"/>
  <cols>
    <col min="1" max="1" width="6.75390625" style="32" customWidth="1"/>
    <col min="2" max="2" width="49.75390625" style="72" customWidth="1"/>
    <col min="3" max="5" width="15.50390625" style="32" customWidth="1"/>
    <col min="6" max="6" width="49.75390625" style="32" customWidth="1"/>
    <col min="7" max="9" width="15.50390625" style="32" customWidth="1"/>
    <col min="10" max="10" width="4.75390625" style="32" customWidth="1"/>
    <col min="11" max="16384" width="9.375" style="32" customWidth="1"/>
  </cols>
  <sheetData>
    <row r="1" spans="1:10" ht="30.75">
      <c r="A1" s="409"/>
      <c r="B1" s="415" t="s">
        <v>113</v>
      </c>
      <c r="C1" s="416"/>
      <c r="D1" s="416"/>
      <c r="E1" s="416"/>
      <c r="F1" s="416"/>
      <c r="G1" s="416"/>
      <c r="H1" s="416"/>
      <c r="I1" s="416"/>
      <c r="J1" s="556" t="str">
        <f>CONCATENATE("6. melléklet ",IB_ALAPADATOK!B7," ",IB_ALAPADATOK!C7," ",IB_ALAPADATOK!D7," ",IB_ALAPADATOK!E7)</f>
        <v>6. melléklet a 2022 I. félévi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'5.sz.mell.'!I2</f>
        <v> Forintban!</v>
      </c>
      <c r="J2" s="556"/>
    </row>
    <row r="3" spans="1:10" ht="13.5" customHeight="1" thickBot="1">
      <c r="A3" s="553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56"/>
    </row>
    <row r="4" spans="1:10" s="135" customFormat="1" ht="34.5" thickBot="1">
      <c r="A4" s="554"/>
      <c r="B4" s="411" t="s">
        <v>48</v>
      </c>
      <c r="C4" s="377" t="str">
        <f>+CONCATENATE('1.sz.mell.'!C8," eredeti előirányzat")</f>
        <v>2022. évi eredeti előirányzat</v>
      </c>
      <c r="D4" s="375" t="str">
        <f>+CONCATENATE('1.sz.mell.'!C8," módosított előirányzat")</f>
        <v>2022. évi módosított előirányzat</v>
      </c>
      <c r="E4" s="375" t="str">
        <f>+CONCATENATE(LEFT('1.sz.mell.'!C8,4),". VI. 30. teljesítés")</f>
        <v>2022. VI. 30. teljesítés</v>
      </c>
      <c r="F4" s="411" t="s">
        <v>48</v>
      </c>
      <c r="G4" s="377" t="str">
        <f>+C4</f>
        <v>2022. évi eredeti előirányzat</v>
      </c>
      <c r="H4" s="377" t="str">
        <f>+D4</f>
        <v>2022. évi módosított előirányzat</v>
      </c>
      <c r="I4" s="376" t="str">
        <f>+E4</f>
        <v>2022. VI. 30. teljesítés</v>
      </c>
      <c r="J4" s="556"/>
    </row>
    <row r="5" spans="1:10" s="135" customFormat="1" ht="13.5" thickBot="1">
      <c r="A5" s="424" t="s">
        <v>404</v>
      </c>
      <c r="B5" s="425" t="s">
        <v>405</v>
      </c>
      <c r="C5" s="426" t="s">
        <v>406</v>
      </c>
      <c r="D5" s="426" t="s">
        <v>408</v>
      </c>
      <c r="E5" s="426" t="s">
        <v>407</v>
      </c>
      <c r="F5" s="425" t="s">
        <v>409</v>
      </c>
      <c r="G5" s="426" t="s">
        <v>410</v>
      </c>
      <c r="H5" s="427" t="s">
        <v>411</v>
      </c>
      <c r="I5" s="428" t="s">
        <v>442</v>
      </c>
      <c r="J5" s="556"/>
    </row>
    <row r="6" spans="1:10" ht="12.75" customHeight="1">
      <c r="A6" s="137" t="s">
        <v>9</v>
      </c>
      <c r="B6" s="138" t="s">
        <v>303</v>
      </c>
      <c r="C6" s="128">
        <v>372742</v>
      </c>
      <c r="D6" s="128">
        <v>372742</v>
      </c>
      <c r="E6" s="128">
        <v>332642</v>
      </c>
      <c r="F6" s="138" t="s">
        <v>156</v>
      </c>
      <c r="G6" s="464">
        <v>54326893</v>
      </c>
      <c r="H6" s="285">
        <v>92772494</v>
      </c>
      <c r="I6" s="158">
        <v>25592917</v>
      </c>
      <c r="J6" s="556"/>
    </row>
    <row r="7" spans="1:10" ht="12.75">
      <c r="A7" s="139" t="s">
        <v>10</v>
      </c>
      <c r="B7" s="140" t="s">
        <v>304</v>
      </c>
      <c r="C7" s="129"/>
      <c r="D7" s="129"/>
      <c r="E7" s="129"/>
      <c r="F7" s="140" t="s">
        <v>309</v>
      </c>
      <c r="G7" s="465"/>
      <c r="H7" s="129"/>
      <c r="I7" s="277"/>
      <c r="J7" s="556"/>
    </row>
    <row r="8" spans="1:10" ht="12.75" customHeight="1">
      <c r="A8" s="139" t="s">
        <v>11</v>
      </c>
      <c r="B8" s="140" t="s">
        <v>4</v>
      </c>
      <c r="C8" s="129"/>
      <c r="D8" s="129"/>
      <c r="E8" s="129"/>
      <c r="F8" s="140" t="s">
        <v>132</v>
      </c>
      <c r="G8" s="465"/>
      <c r="H8" s="129"/>
      <c r="I8" s="277"/>
      <c r="J8" s="556"/>
    </row>
    <row r="9" spans="1:10" ht="12.75" customHeight="1">
      <c r="A9" s="139" t="s">
        <v>12</v>
      </c>
      <c r="B9" s="140" t="s">
        <v>305</v>
      </c>
      <c r="C9" s="129"/>
      <c r="D9" s="129"/>
      <c r="E9" s="129"/>
      <c r="F9" s="140" t="s">
        <v>310</v>
      </c>
      <c r="G9" s="465"/>
      <c r="H9" s="129"/>
      <c r="I9" s="277"/>
      <c r="J9" s="556"/>
    </row>
    <row r="10" spans="1:10" ht="12.75" customHeight="1">
      <c r="A10" s="139" t="s">
        <v>13</v>
      </c>
      <c r="B10" s="140" t="s">
        <v>306</v>
      </c>
      <c r="C10" s="129"/>
      <c r="D10" s="129"/>
      <c r="E10" s="129"/>
      <c r="F10" s="140" t="s">
        <v>158</v>
      </c>
      <c r="G10" s="465">
        <v>2000000</v>
      </c>
      <c r="H10" s="129">
        <v>6032843</v>
      </c>
      <c r="I10" s="277">
        <v>4532843</v>
      </c>
      <c r="J10" s="556"/>
    </row>
    <row r="11" spans="1:10" ht="12.75" customHeight="1">
      <c r="A11" s="139" t="s">
        <v>14</v>
      </c>
      <c r="B11" s="140" t="s">
        <v>307</v>
      </c>
      <c r="C11" s="130"/>
      <c r="D11" s="130">
        <v>22063364</v>
      </c>
      <c r="E11" s="130">
        <v>22063364</v>
      </c>
      <c r="F11" s="207"/>
      <c r="G11" s="129"/>
      <c r="H11" s="129"/>
      <c r="I11" s="277"/>
      <c r="J11" s="556"/>
    </row>
    <row r="12" spans="1:10" ht="12.75" customHeight="1">
      <c r="A12" s="139" t="s">
        <v>15</v>
      </c>
      <c r="B12" s="29"/>
      <c r="C12" s="129"/>
      <c r="D12" s="129"/>
      <c r="E12" s="129"/>
      <c r="F12" s="207"/>
      <c r="G12" s="129"/>
      <c r="H12" s="129"/>
      <c r="I12" s="277"/>
      <c r="J12" s="556"/>
    </row>
    <row r="13" spans="1:10" ht="12.75" customHeight="1">
      <c r="A13" s="139" t="s">
        <v>16</v>
      </c>
      <c r="B13" s="29"/>
      <c r="C13" s="129"/>
      <c r="D13" s="129"/>
      <c r="E13" s="129"/>
      <c r="F13" s="208"/>
      <c r="G13" s="129"/>
      <c r="H13" s="129"/>
      <c r="I13" s="277"/>
      <c r="J13" s="556"/>
    </row>
    <row r="14" spans="1:10" ht="12.75" customHeight="1">
      <c r="A14" s="139" t="s">
        <v>17</v>
      </c>
      <c r="B14" s="205"/>
      <c r="C14" s="130"/>
      <c r="D14" s="130"/>
      <c r="E14" s="130"/>
      <c r="F14" s="207"/>
      <c r="G14" s="129"/>
      <c r="H14" s="129"/>
      <c r="I14" s="277"/>
      <c r="J14" s="556"/>
    </row>
    <row r="15" spans="1:10" ht="12.75">
      <c r="A15" s="139" t="s">
        <v>18</v>
      </c>
      <c r="B15" s="29"/>
      <c r="C15" s="130"/>
      <c r="D15" s="130"/>
      <c r="E15" s="130"/>
      <c r="F15" s="207"/>
      <c r="G15" s="129"/>
      <c r="H15" s="129"/>
      <c r="I15" s="277"/>
      <c r="J15" s="556"/>
    </row>
    <row r="16" spans="1:10" ht="12.75" customHeight="1" thickBot="1">
      <c r="A16" s="175" t="s">
        <v>19</v>
      </c>
      <c r="B16" s="206"/>
      <c r="C16" s="177"/>
      <c r="D16" s="177"/>
      <c r="E16" s="177"/>
      <c r="F16" s="176" t="s">
        <v>39</v>
      </c>
      <c r="G16" s="283">
        <v>7950859</v>
      </c>
      <c r="H16" s="283">
        <v>7950859</v>
      </c>
      <c r="I16" s="281"/>
      <c r="J16" s="556"/>
    </row>
    <row r="17" spans="1:10" ht="15.75" customHeight="1" thickBot="1">
      <c r="A17" s="142" t="s">
        <v>20</v>
      </c>
      <c r="B17" s="54" t="s">
        <v>317</v>
      </c>
      <c r="C17" s="132">
        <f>+C6+C8+C9+C11+C12+C13+C14+C15+C16</f>
        <v>372742</v>
      </c>
      <c r="D17" s="132">
        <f>+D6+D8+D9+D11+D12+D13+D14+D15+D16</f>
        <v>22436106</v>
      </c>
      <c r="E17" s="132">
        <f>+E6+E8+E9+E11+E12+E13+E14+E15+E16</f>
        <v>22396006</v>
      </c>
      <c r="F17" s="54" t="s">
        <v>318</v>
      </c>
      <c r="G17" s="132">
        <f>+G6+G8+G10+G11+G12+G13+G14+G15+G16</f>
        <v>64277752</v>
      </c>
      <c r="H17" s="132">
        <f>+H6+H8+H10+H11+H12+H13+H14+H15+H16</f>
        <v>106756196</v>
      </c>
      <c r="I17" s="160">
        <f>+I6+I8+I10+I11+I12+I13+I14+I15+I16</f>
        <v>30125760</v>
      </c>
      <c r="J17" s="556"/>
    </row>
    <row r="18" spans="1:10" ht="12.75" customHeight="1">
      <c r="A18" s="137" t="s">
        <v>21</v>
      </c>
      <c r="B18" s="150" t="s">
        <v>173</v>
      </c>
      <c r="C18" s="157">
        <f>+C19+C20+C21+C22+C23</f>
        <v>7950859</v>
      </c>
      <c r="D18" s="157">
        <f>+D19+D20+D21+D22+D23</f>
        <v>7950859</v>
      </c>
      <c r="E18" s="157">
        <f>+E19+E20+E21+E22+E23</f>
        <v>7950859</v>
      </c>
      <c r="F18" s="145" t="s">
        <v>136</v>
      </c>
      <c r="G18" s="284"/>
      <c r="H18" s="284"/>
      <c r="I18" s="282"/>
      <c r="J18" s="556"/>
    </row>
    <row r="19" spans="1:10" ht="12.75" customHeight="1">
      <c r="A19" s="139" t="s">
        <v>22</v>
      </c>
      <c r="B19" s="151" t="s">
        <v>162</v>
      </c>
      <c r="C19" s="43">
        <v>7950859</v>
      </c>
      <c r="D19" s="43">
        <v>7950859</v>
      </c>
      <c r="E19" s="43">
        <v>7950859</v>
      </c>
      <c r="F19" s="145" t="s">
        <v>139</v>
      </c>
      <c r="G19" s="43"/>
      <c r="H19" s="43"/>
      <c r="I19" s="280"/>
      <c r="J19" s="556"/>
    </row>
    <row r="20" spans="1:10" ht="12.75" customHeight="1">
      <c r="A20" s="137" t="s">
        <v>23</v>
      </c>
      <c r="B20" s="151" t="s">
        <v>163</v>
      </c>
      <c r="C20" s="43"/>
      <c r="D20" s="43"/>
      <c r="E20" s="43"/>
      <c r="F20" s="145" t="s">
        <v>110</v>
      </c>
      <c r="G20" s="43"/>
      <c r="H20" s="43"/>
      <c r="I20" s="280"/>
      <c r="J20" s="556"/>
    </row>
    <row r="21" spans="1:10" ht="12.75" customHeight="1">
      <c r="A21" s="139" t="s">
        <v>24</v>
      </c>
      <c r="B21" s="151" t="s">
        <v>164</v>
      </c>
      <c r="C21" s="43"/>
      <c r="D21" s="43"/>
      <c r="E21" s="43"/>
      <c r="F21" s="145" t="s">
        <v>111</v>
      </c>
      <c r="G21" s="43"/>
      <c r="H21" s="43"/>
      <c r="I21" s="280"/>
      <c r="J21" s="556"/>
    </row>
    <row r="22" spans="1:10" ht="12.75" customHeight="1">
      <c r="A22" s="137" t="s">
        <v>25</v>
      </c>
      <c r="B22" s="151" t="s">
        <v>165</v>
      </c>
      <c r="C22" s="43"/>
      <c r="D22" s="43"/>
      <c r="E22" s="43"/>
      <c r="F22" s="144" t="s">
        <v>161</v>
      </c>
      <c r="G22" s="43"/>
      <c r="H22" s="43"/>
      <c r="I22" s="280"/>
      <c r="J22" s="556"/>
    </row>
    <row r="23" spans="1:10" ht="12.75" customHeight="1">
      <c r="A23" s="139" t="s">
        <v>26</v>
      </c>
      <c r="B23" s="152" t="s">
        <v>166</v>
      </c>
      <c r="C23" s="43"/>
      <c r="D23" s="43"/>
      <c r="E23" s="43"/>
      <c r="F23" s="145" t="s">
        <v>140</v>
      </c>
      <c r="G23" s="43"/>
      <c r="H23" s="43"/>
      <c r="I23" s="280"/>
      <c r="J23" s="556"/>
    </row>
    <row r="24" spans="1:10" ht="12.75" customHeight="1">
      <c r="A24" s="137" t="s">
        <v>27</v>
      </c>
      <c r="B24" s="153" t="s">
        <v>167</v>
      </c>
      <c r="C24" s="147">
        <f>+C25+C26+C27+C28+C29</f>
        <v>0</v>
      </c>
      <c r="D24" s="147">
        <f>+D25+D26+D27+D28+D29</f>
        <v>0</v>
      </c>
      <c r="E24" s="147">
        <f>+E25+E26+E27+E28+E29</f>
        <v>0</v>
      </c>
      <c r="F24" s="154" t="s">
        <v>138</v>
      </c>
      <c r="G24" s="43"/>
      <c r="H24" s="43"/>
      <c r="I24" s="280"/>
      <c r="J24" s="556"/>
    </row>
    <row r="25" spans="1:10" ht="12.75" customHeight="1">
      <c r="A25" s="139" t="s">
        <v>28</v>
      </c>
      <c r="B25" s="152" t="s">
        <v>168</v>
      </c>
      <c r="C25" s="43"/>
      <c r="D25" s="43"/>
      <c r="E25" s="43"/>
      <c r="F25" s="154" t="s">
        <v>311</v>
      </c>
      <c r="G25" s="43"/>
      <c r="H25" s="43"/>
      <c r="I25" s="280"/>
      <c r="J25" s="556"/>
    </row>
    <row r="26" spans="1:10" ht="12.75" customHeight="1">
      <c r="A26" s="137" t="s">
        <v>29</v>
      </c>
      <c r="B26" s="152" t="s">
        <v>169</v>
      </c>
      <c r="C26" s="43"/>
      <c r="D26" s="43"/>
      <c r="E26" s="43"/>
      <c r="F26" s="149"/>
      <c r="G26" s="43"/>
      <c r="H26" s="43"/>
      <c r="I26" s="280"/>
      <c r="J26" s="556"/>
    </row>
    <row r="27" spans="1:10" ht="12.75" customHeight="1">
      <c r="A27" s="139" t="s">
        <v>30</v>
      </c>
      <c r="B27" s="151" t="s">
        <v>170</v>
      </c>
      <c r="C27" s="43"/>
      <c r="D27" s="43"/>
      <c r="E27" s="43"/>
      <c r="F27" s="52"/>
      <c r="G27" s="43"/>
      <c r="H27" s="43"/>
      <c r="I27" s="280"/>
      <c r="J27" s="556"/>
    </row>
    <row r="28" spans="1:10" ht="12.75" customHeight="1">
      <c r="A28" s="137" t="s">
        <v>31</v>
      </c>
      <c r="B28" s="155" t="s">
        <v>171</v>
      </c>
      <c r="C28" s="43"/>
      <c r="D28" s="43"/>
      <c r="E28" s="43"/>
      <c r="F28" s="29"/>
      <c r="G28" s="43"/>
      <c r="H28" s="43"/>
      <c r="I28" s="280"/>
      <c r="J28" s="556"/>
    </row>
    <row r="29" spans="1:10" ht="12.75" customHeight="1" thickBot="1">
      <c r="A29" s="139" t="s">
        <v>32</v>
      </c>
      <c r="B29" s="156" t="s">
        <v>172</v>
      </c>
      <c r="C29" s="43"/>
      <c r="D29" s="43"/>
      <c r="E29" s="43"/>
      <c r="F29" s="52"/>
      <c r="G29" s="43"/>
      <c r="H29" s="43"/>
      <c r="I29" s="280"/>
      <c r="J29" s="556"/>
    </row>
    <row r="30" spans="1:10" ht="21.75" customHeight="1" thickBot="1">
      <c r="A30" s="142" t="s">
        <v>33</v>
      </c>
      <c r="B30" s="54" t="s">
        <v>308</v>
      </c>
      <c r="C30" s="132">
        <f>+C18+C24</f>
        <v>7950859</v>
      </c>
      <c r="D30" s="132">
        <f>+D18+D24</f>
        <v>7950859</v>
      </c>
      <c r="E30" s="132">
        <f>+E18+E24</f>
        <v>7950859</v>
      </c>
      <c r="F30" s="54" t="s">
        <v>312</v>
      </c>
      <c r="G30" s="132">
        <f>SUM(G18:G29)</f>
        <v>0</v>
      </c>
      <c r="H30" s="132">
        <f>SUM(H18:H29)</f>
        <v>0</v>
      </c>
      <c r="I30" s="160">
        <f>SUM(I18:I29)</f>
        <v>0</v>
      </c>
      <c r="J30" s="556"/>
    </row>
    <row r="31" spans="1:10" ht="13.5" thickBot="1">
      <c r="A31" s="142" t="s">
        <v>34</v>
      </c>
      <c r="B31" s="148" t="s">
        <v>313</v>
      </c>
      <c r="C31" s="345">
        <f>+C17+C30</f>
        <v>8323601</v>
      </c>
      <c r="D31" s="345">
        <f>+D17+D30</f>
        <v>30386965</v>
      </c>
      <c r="E31" s="346">
        <f>+E17+E30</f>
        <v>30346865</v>
      </c>
      <c r="F31" s="148" t="s">
        <v>314</v>
      </c>
      <c r="G31" s="345">
        <f>+G17+G30</f>
        <v>64277752</v>
      </c>
      <c r="H31" s="345">
        <f>+H17+H30</f>
        <v>106756196</v>
      </c>
      <c r="I31" s="346">
        <f>+I17+I30</f>
        <v>30125760</v>
      </c>
      <c r="J31" s="556"/>
    </row>
    <row r="32" spans="1:10" ht="13.5" thickBot="1">
      <c r="A32" s="142" t="s">
        <v>35</v>
      </c>
      <c r="B32" s="148" t="s">
        <v>114</v>
      </c>
      <c r="C32" s="345">
        <f>IF(C17-G17&lt;0,G17-C17,"-")</f>
        <v>63905010</v>
      </c>
      <c r="D32" s="345">
        <f>IF(D17-H17&lt;0,H17-D17,"-")</f>
        <v>84320090</v>
      </c>
      <c r="E32" s="346">
        <f>IF(E17-I17&lt;0,I17-E17,"-")</f>
        <v>7729754</v>
      </c>
      <c r="F32" s="148" t="s">
        <v>115</v>
      </c>
      <c r="G32" s="345" t="str">
        <f>IF(C17-G17&gt;0,C17-G17,"-")</f>
        <v>-</v>
      </c>
      <c r="H32" s="345" t="str">
        <f>IF(D17-H17&gt;0,D17-H17,"-")</f>
        <v>-</v>
      </c>
      <c r="I32" s="346" t="str">
        <f>IF(E17-I17&gt;0,E17-I17,"-")</f>
        <v>-</v>
      </c>
      <c r="J32" s="556"/>
    </row>
    <row r="33" spans="1:10" ht="13.5" thickBot="1">
      <c r="A33" s="142" t="s">
        <v>36</v>
      </c>
      <c r="B33" s="148" t="s">
        <v>510</v>
      </c>
      <c r="C33" s="345">
        <f>IF(C31-G31&lt;0,G31-C31,"-")</f>
        <v>55954151</v>
      </c>
      <c r="D33" s="345">
        <f>IF(D31-H31&lt;0,H31-D31,"-")</f>
        <v>76369231</v>
      </c>
      <c r="E33" s="345" t="str">
        <f>IF(E31-I31&lt;0,I31-E31,"-")</f>
        <v>-</v>
      </c>
      <c r="F33" s="148" t="s">
        <v>511</v>
      </c>
      <c r="G33" s="345" t="str">
        <f>IF(C31-G31&gt;0,C31-G31,"-")</f>
        <v>-</v>
      </c>
      <c r="H33" s="345" t="str">
        <f>IF(D31-H31&gt;0,D31-H31,"-")</f>
        <v>-</v>
      </c>
      <c r="I33" s="345">
        <f>IF(E31-I31&gt;0,E31-I31,"-")</f>
        <v>221105</v>
      </c>
      <c r="J33" s="556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38"/>
  <sheetViews>
    <sheetView zoomScale="120" zoomScaleNormal="120" workbookViewId="0" topLeftCell="A7">
      <selection activeCell="F12" sqref="F12:F14"/>
    </sheetView>
  </sheetViews>
  <sheetFormatPr defaultColWidth="9.375" defaultRowHeight="12.75"/>
  <cols>
    <col min="1" max="1" width="47.125" style="27" customWidth="1"/>
    <col min="2" max="2" width="15.625" style="26" customWidth="1"/>
    <col min="3" max="3" width="16.375" style="26" customWidth="1"/>
    <col min="4" max="6" width="18.00390625" style="26" customWidth="1"/>
    <col min="7" max="7" width="16.625" style="26" customWidth="1"/>
    <col min="8" max="8" width="18.75390625" style="32" customWidth="1"/>
    <col min="9" max="10" width="12.75390625" style="26" customWidth="1"/>
    <col min="11" max="11" width="13.75390625" style="26" customWidth="1"/>
    <col min="12" max="16384" width="9.375" style="26" customWidth="1"/>
  </cols>
  <sheetData>
    <row r="1" spans="1:8" ht="21.75" customHeight="1">
      <c r="A1" s="408"/>
      <c r="B1" s="558" t="str">
        <f>CONCATENATE("7. melléklet ",IB_ALAPADATOK!B7," ",IB_ALAPADATOK!C7," ",IB_ALAPADATOK!D7," ",IB_ALAPADATOK!E7)</f>
        <v>7. melléklet a 2022 I. félévi költségvetési tájékoztatóhoz</v>
      </c>
      <c r="C1" s="559"/>
      <c r="D1" s="559"/>
      <c r="E1" s="559"/>
      <c r="F1" s="559"/>
      <c r="G1" s="559"/>
      <c r="H1" s="559"/>
    </row>
    <row r="2" spans="1:8" ht="12.75">
      <c r="A2" s="408"/>
      <c r="B2" s="409"/>
      <c r="C2" s="409"/>
      <c r="D2" s="409"/>
      <c r="E2" s="409"/>
      <c r="F2" s="409"/>
      <c r="G2" s="409"/>
      <c r="H2" s="409"/>
    </row>
    <row r="3" spans="1:8" ht="25.5" customHeight="1">
      <c r="A3" s="557" t="s">
        <v>0</v>
      </c>
      <c r="B3" s="557"/>
      <c r="C3" s="557"/>
      <c r="D3" s="557"/>
      <c r="E3" s="557"/>
      <c r="F3" s="557"/>
      <c r="G3" s="557"/>
      <c r="H3" s="557"/>
    </row>
    <row r="4" spans="1:8" ht="22.5" customHeight="1" thickBot="1">
      <c r="A4" s="408"/>
      <c r="B4" s="409"/>
      <c r="C4" s="409"/>
      <c r="D4" s="409"/>
      <c r="E4" s="409"/>
      <c r="F4" s="409"/>
      <c r="G4" s="409"/>
      <c r="H4" s="410" t="str">
        <f>'6.sz.mell'!I2</f>
        <v> Forintban!</v>
      </c>
    </row>
    <row r="5" spans="1:8" s="28" customFormat="1" ht="44.25" customHeight="1" thickBot="1">
      <c r="A5" s="411" t="s">
        <v>51</v>
      </c>
      <c r="B5" s="377" t="s">
        <v>52</v>
      </c>
      <c r="C5" s="377" t="s">
        <v>53</v>
      </c>
      <c r="D5" s="377" t="str">
        <f>+CONCATENATE("Felhasználás   ",LEFT(IB_ÖSSZEFÜGGÉSEK!A6,4)-1,". XII. 31-ig")</f>
        <v>Felhasználás   2021. XII. 31-ig</v>
      </c>
      <c r="E5" s="377" t="str">
        <f>+CONCATENATE(LEFT('[4]RM_ÖSSZEFÜGGÉSEK'!A6,4),". évi",CHAR(10),"eredeti előirányzat")</f>
        <v>2022. évi
eredeti előirányzat</v>
      </c>
      <c r="F5" s="377" t="str">
        <f>+CONCATENATE(LEFT(IB_ÖSSZEFÜGGÉSEK!A6,4),". évi",CHAR(10),"módosított előirányzat")</f>
        <v>2022. évi
módosított előirányzat</v>
      </c>
      <c r="G5" s="377" t="str">
        <f>+CONCATENATE("Teljesítés",CHAR(10),LEFT(IB_ÖSSZEFÜGGÉSEK!A6,4),". VI. 30-ig")</f>
        <v>Teljesítés
2022. VI. 30-ig</v>
      </c>
      <c r="H5" s="378" t="str">
        <f>+CONCATENATE("Összes teljesítés",CHAR(10),LEFT(IB_ÖSSZEFÜGGÉSEK!A6,4),". VI. 30-ig")</f>
        <v>Összes teljesítés
2022. VI. 30-ig</v>
      </c>
    </row>
    <row r="6" spans="1:8" s="32" customFormat="1" ht="12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526" t="s">
        <v>407</v>
      </c>
      <c r="F6" s="413" t="s">
        <v>409</v>
      </c>
      <c r="G6" s="413" t="s">
        <v>410</v>
      </c>
      <c r="H6" s="414" t="s">
        <v>461</v>
      </c>
    </row>
    <row r="7" spans="1:8" ht="15.75" customHeight="1">
      <c r="A7" s="519" t="s">
        <v>624</v>
      </c>
      <c r="B7" s="21">
        <v>292100</v>
      </c>
      <c r="C7" s="520" t="s">
        <v>625</v>
      </c>
      <c r="D7" s="468"/>
      <c r="E7" s="21">
        <v>292100</v>
      </c>
      <c r="F7" s="21">
        <v>292100</v>
      </c>
      <c r="G7" s="21"/>
      <c r="H7" s="33">
        <f aca="true" t="shared" si="0" ref="H7:H12">D7+G7</f>
        <v>0</v>
      </c>
    </row>
    <row r="8" spans="1:8" ht="15.75" customHeight="1">
      <c r="A8" s="519" t="s">
        <v>626</v>
      </c>
      <c r="B8" s="21">
        <v>15000000</v>
      </c>
      <c r="C8" s="520" t="s">
        <v>625</v>
      </c>
      <c r="D8" s="468"/>
      <c r="E8" s="21">
        <v>15000000</v>
      </c>
      <c r="F8" s="21">
        <v>15000000</v>
      </c>
      <c r="G8" s="21">
        <v>198500</v>
      </c>
      <c r="H8" s="33">
        <f t="shared" si="0"/>
        <v>198500</v>
      </c>
    </row>
    <row r="9" spans="1:8" ht="15.75" customHeight="1">
      <c r="A9" s="519" t="s">
        <v>627</v>
      </c>
      <c r="B9" s="21">
        <v>4979553</v>
      </c>
      <c r="C9" s="520" t="s">
        <v>625</v>
      </c>
      <c r="D9" s="468"/>
      <c r="E9" s="21">
        <v>4979553</v>
      </c>
      <c r="F9" s="21">
        <v>4979550</v>
      </c>
      <c r="G9" s="21">
        <v>1963316</v>
      </c>
      <c r="H9" s="33">
        <f t="shared" si="0"/>
        <v>1963316</v>
      </c>
    </row>
    <row r="10" spans="1:8" ht="15.75" customHeight="1">
      <c r="A10" s="521" t="s">
        <v>628</v>
      </c>
      <c r="B10" s="21">
        <v>14497050</v>
      </c>
      <c r="C10" s="520" t="s">
        <v>625</v>
      </c>
      <c r="D10" s="468"/>
      <c r="E10" s="21">
        <v>14497050</v>
      </c>
      <c r="F10" s="21">
        <v>14497050</v>
      </c>
      <c r="G10" s="21">
        <v>14497050</v>
      </c>
      <c r="H10" s="33">
        <f t="shared" si="0"/>
        <v>14497050</v>
      </c>
    </row>
    <row r="11" spans="1:8" ht="15.75" customHeight="1">
      <c r="A11" s="519" t="s">
        <v>629</v>
      </c>
      <c r="B11" s="21">
        <v>3000000</v>
      </c>
      <c r="C11" s="520" t="s">
        <v>625</v>
      </c>
      <c r="D11" s="468"/>
      <c r="E11" s="21">
        <v>3000000</v>
      </c>
      <c r="F11" s="468">
        <v>18000000</v>
      </c>
      <c r="G11" s="21">
        <v>63500</v>
      </c>
      <c r="H11" s="33">
        <f t="shared" si="0"/>
        <v>63500</v>
      </c>
    </row>
    <row r="12" spans="1:8" ht="15.75" customHeight="1">
      <c r="A12" s="521" t="s">
        <v>630</v>
      </c>
      <c r="B12" s="21">
        <v>180000</v>
      </c>
      <c r="C12" s="520" t="s">
        <v>625</v>
      </c>
      <c r="D12" s="468"/>
      <c r="E12" s="21">
        <v>180000</v>
      </c>
      <c r="F12" s="468">
        <v>9078255</v>
      </c>
      <c r="G12" s="21">
        <v>180000</v>
      </c>
      <c r="H12" s="33">
        <f t="shared" si="0"/>
        <v>180000</v>
      </c>
    </row>
    <row r="13" spans="1:8" ht="15.75" customHeight="1">
      <c r="A13" s="521" t="s">
        <v>631</v>
      </c>
      <c r="B13" s="21"/>
      <c r="C13" s="520" t="s">
        <v>625</v>
      </c>
      <c r="D13" s="475"/>
      <c r="E13" s="21"/>
      <c r="F13" s="475">
        <v>12814999</v>
      </c>
      <c r="G13" s="518"/>
      <c r="H13" s="33">
        <f aca="true" t="shared" si="1" ref="H13:H19">D13+G13</f>
        <v>0</v>
      </c>
    </row>
    <row r="14" spans="1:8" ht="15.75" customHeight="1">
      <c r="A14" s="519" t="s">
        <v>632</v>
      </c>
      <c r="B14" s="21">
        <v>900000</v>
      </c>
      <c r="C14" s="520" t="s">
        <v>625</v>
      </c>
      <c r="D14" s="475"/>
      <c r="E14" s="21">
        <v>900000</v>
      </c>
      <c r="F14" s="21">
        <v>900000</v>
      </c>
      <c r="G14" s="518">
        <v>900000</v>
      </c>
      <c r="H14" s="33">
        <f t="shared" si="1"/>
        <v>900000</v>
      </c>
    </row>
    <row r="15" spans="1:8" ht="15.75" customHeight="1">
      <c r="A15" s="519" t="s">
        <v>633</v>
      </c>
      <c r="B15" s="21">
        <v>91440</v>
      </c>
      <c r="C15" s="520" t="s">
        <v>625</v>
      </c>
      <c r="D15" s="475"/>
      <c r="E15" s="21">
        <v>91440</v>
      </c>
      <c r="F15" s="21">
        <v>91440</v>
      </c>
      <c r="G15" s="518">
        <v>91440</v>
      </c>
      <c r="H15" s="33">
        <f t="shared" si="1"/>
        <v>91440</v>
      </c>
    </row>
    <row r="16" spans="1:8" ht="15.75" customHeight="1">
      <c r="A16" s="519" t="s">
        <v>634</v>
      </c>
      <c r="B16" s="21">
        <v>540000</v>
      </c>
      <c r="C16" s="520" t="s">
        <v>625</v>
      </c>
      <c r="D16" s="475"/>
      <c r="E16" s="21">
        <v>540000</v>
      </c>
      <c r="F16" s="21">
        <v>540000</v>
      </c>
      <c r="G16" s="518">
        <v>540000</v>
      </c>
      <c r="H16" s="33">
        <f t="shared" si="1"/>
        <v>540000</v>
      </c>
    </row>
    <row r="17" spans="1:8" ht="15.75" customHeight="1">
      <c r="A17" s="519" t="s">
        <v>635</v>
      </c>
      <c r="B17" s="21">
        <v>1524000</v>
      </c>
      <c r="C17" s="520" t="s">
        <v>625</v>
      </c>
      <c r="D17" s="475"/>
      <c r="E17" s="21">
        <v>1524000</v>
      </c>
      <c r="F17" s="21">
        <v>1524000</v>
      </c>
      <c r="G17" s="518"/>
      <c r="H17" s="33">
        <f t="shared" si="1"/>
        <v>0</v>
      </c>
    </row>
    <row r="18" spans="1:8" ht="15.75" customHeight="1">
      <c r="A18" s="522" t="s">
        <v>636</v>
      </c>
      <c r="B18" s="518">
        <v>1268650</v>
      </c>
      <c r="C18" s="523" t="s">
        <v>625</v>
      </c>
      <c r="D18" s="475"/>
      <c r="E18" s="518"/>
      <c r="F18" s="475">
        <v>1268650</v>
      </c>
      <c r="G18" s="518"/>
      <c r="H18" s="33">
        <f t="shared" si="1"/>
        <v>0</v>
      </c>
    </row>
    <row r="19" spans="1:8" ht="15.75" customHeight="1" thickBot="1">
      <c r="A19" s="524" t="s">
        <v>637</v>
      </c>
      <c r="B19" s="477">
        <v>1000000</v>
      </c>
      <c r="C19" s="525" t="s">
        <v>625</v>
      </c>
      <c r="D19" s="470"/>
      <c r="E19" s="477">
        <v>1000000</v>
      </c>
      <c r="F19" s="470">
        <v>1189700</v>
      </c>
      <c r="G19" s="477">
        <v>1199700</v>
      </c>
      <c r="H19" s="478">
        <f t="shared" si="1"/>
        <v>1199700</v>
      </c>
    </row>
    <row r="20" spans="1:8" ht="15.75" customHeight="1">
      <c r="A20" s="471" t="s">
        <v>585</v>
      </c>
      <c r="B20" s="472">
        <v>257000</v>
      </c>
      <c r="C20" s="473" t="s">
        <v>602</v>
      </c>
      <c r="D20" s="472"/>
      <c r="E20" s="527">
        <v>257000</v>
      </c>
      <c r="F20" s="472">
        <v>257000</v>
      </c>
      <c r="G20" s="21">
        <v>0</v>
      </c>
      <c r="H20" s="476">
        <f>D20+G20</f>
        <v>0</v>
      </c>
    </row>
    <row r="21" spans="1:8" ht="15.75" customHeight="1">
      <c r="A21" s="467" t="s">
        <v>603</v>
      </c>
      <c r="B21" s="468">
        <v>406000</v>
      </c>
      <c r="C21" s="473" t="s">
        <v>602</v>
      </c>
      <c r="D21" s="468"/>
      <c r="E21" s="21">
        <v>406000</v>
      </c>
      <c r="F21" s="468">
        <v>680000</v>
      </c>
      <c r="G21" s="21">
        <v>679690</v>
      </c>
      <c r="H21" s="33">
        <f>D21+G21</f>
        <v>679690</v>
      </c>
    </row>
    <row r="22" spans="1:8" ht="15.75" customHeight="1">
      <c r="A22" s="467" t="s">
        <v>604</v>
      </c>
      <c r="B22" s="468">
        <v>381000</v>
      </c>
      <c r="C22" s="473" t="s">
        <v>602</v>
      </c>
      <c r="D22" s="468"/>
      <c r="E22" s="21">
        <v>381000</v>
      </c>
      <c r="F22" s="468">
        <v>381000</v>
      </c>
      <c r="G22" s="21">
        <v>0</v>
      </c>
      <c r="H22" s="33">
        <f aca="true" t="shared" si="2" ref="H22:H37">D22+G22</f>
        <v>0</v>
      </c>
    </row>
    <row r="23" spans="1:8" ht="28.5" customHeight="1">
      <c r="A23" s="467" t="s">
        <v>586</v>
      </c>
      <c r="B23" s="468">
        <v>635000</v>
      </c>
      <c r="C23" s="473" t="s">
        <v>602</v>
      </c>
      <c r="D23" s="468"/>
      <c r="E23" s="21">
        <v>635000</v>
      </c>
      <c r="F23" s="468">
        <v>635000</v>
      </c>
      <c r="G23" s="21">
        <v>140457</v>
      </c>
      <c r="H23" s="33">
        <f t="shared" si="2"/>
        <v>140457</v>
      </c>
    </row>
    <row r="24" spans="1:8" ht="15.75" customHeight="1">
      <c r="A24" s="469" t="s">
        <v>587</v>
      </c>
      <c r="B24" s="468">
        <v>900000</v>
      </c>
      <c r="C24" s="473" t="s">
        <v>602</v>
      </c>
      <c r="D24" s="468"/>
      <c r="E24" s="21">
        <v>1588000</v>
      </c>
      <c r="F24" s="468">
        <v>900000</v>
      </c>
      <c r="G24" s="21"/>
      <c r="H24" s="33">
        <f t="shared" si="2"/>
        <v>0</v>
      </c>
    </row>
    <row r="25" spans="1:8" ht="15.75" customHeight="1">
      <c r="A25" s="467" t="s">
        <v>605</v>
      </c>
      <c r="B25" s="468">
        <v>1588000</v>
      </c>
      <c r="C25" s="473" t="s">
        <v>602</v>
      </c>
      <c r="D25" s="468"/>
      <c r="E25" s="21">
        <v>900000</v>
      </c>
      <c r="F25" s="468">
        <v>1588000</v>
      </c>
      <c r="G25" s="21">
        <v>1588000</v>
      </c>
      <c r="H25" s="33">
        <v>1588000</v>
      </c>
    </row>
    <row r="26" spans="1:8" ht="15.75" customHeight="1">
      <c r="A26" s="469" t="s">
        <v>606</v>
      </c>
      <c r="B26" s="468">
        <v>2445000</v>
      </c>
      <c r="C26" s="473" t="s">
        <v>602</v>
      </c>
      <c r="D26" s="468"/>
      <c r="E26" s="21">
        <v>2445000</v>
      </c>
      <c r="F26" s="468">
        <v>2445000</v>
      </c>
      <c r="G26" s="21">
        <v>2444750</v>
      </c>
      <c r="H26" s="33">
        <f t="shared" si="2"/>
        <v>2444750</v>
      </c>
    </row>
    <row r="27" spans="1:8" ht="15.75" customHeight="1">
      <c r="A27" s="467" t="s">
        <v>607</v>
      </c>
      <c r="B27" s="468">
        <v>271000</v>
      </c>
      <c r="C27" s="473" t="s">
        <v>602</v>
      </c>
      <c r="D27" s="468"/>
      <c r="E27" s="21">
        <v>271000</v>
      </c>
      <c r="F27" s="468">
        <v>271000</v>
      </c>
      <c r="G27" s="21">
        <v>271000</v>
      </c>
      <c r="H27" s="33">
        <f t="shared" si="2"/>
        <v>271000</v>
      </c>
    </row>
    <row r="28" spans="1:8" ht="15.75" customHeight="1">
      <c r="A28" s="467" t="s">
        <v>608</v>
      </c>
      <c r="B28" s="468">
        <v>421000</v>
      </c>
      <c r="C28" s="473" t="s">
        <v>602</v>
      </c>
      <c r="D28" s="468"/>
      <c r="E28" s="21">
        <v>421000</v>
      </c>
      <c r="F28" s="468">
        <v>421000</v>
      </c>
      <c r="G28" s="21">
        <v>98276</v>
      </c>
      <c r="H28" s="33">
        <f t="shared" si="2"/>
        <v>98276</v>
      </c>
    </row>
    <row r="29" spans="1:8" ht="15.75" customHeight="1">
      <c r="A29" s="467" t="s">
        <v>609</v>
      </c>
      <c r="B29" s="468">
        <v>217000</v>
      </c>
      <c r="C29" s="473" t="s">
        <v>602</v>
      </c>
      <c r="D29" s="468"/>
      <c r="E29" s="21">
        <v>217000</v>
      </c>
      <c r="F29" s="468">
        <v>217000</v>
      </c>
      <c r="G29" s="21"/>
      <c r="H29" s="33">
        <f t="shared" si="2"/>
        <v>0</v>
      </c>
    </row>
    <row r="30" spans="1:8" ht="15.75" customHeight="1">
      <c r="A30" s="467" t="s">
        <v>610</v>
      </c>
      <c r="B30" s="468">
        <v>500000</v>
      </c>
      <c r="C30" s="473" t="s">
        <v>602</v>
      </c>
      <c r="D30" s="468"/>
      <c r="E30" s="21">
        <v>500000</v>
      </c>
      <c r="F30" s="468">
        <v>500000</v>
      </c>
      <c r="G30" s="21"/>
      <c r="H30" s="33">
        <f t="shared" si="2"/>
        <v>0</v>
      </c>
    </row>
    <row r="31" spans="1:8" ht="15.75" customHeight="1">
      <c r="A31" s="467" t="s">
        <v>611</v>
      </c>
      <c r="B31" s="468">
        <v>95250</v>
      </c>
      <c r="C31" s="473" t="s">
        <v>602</v>
      </c>
      <c r="D31" s="468"/>
      <c r="E31" s="21">
        <v>95250</v>
      </c>
      <c r="F31" s="468">
        <v>95250</v>
      </c>
      <c r="G31" s="21"/>
      <c r="H31" s="33">
        <f t="shared" si="2"/>
        <v>0</v>
      </c>
    </row>
    <row r="32" spans="1:8" ht="15.75" customHeight="1">
      <c r="A32" s="467" t="s">
        <v>612</v>
      </c>
      <c r="B32" s="468">
        <v>63500</v>
      </c>
      <c r="C32" s="473" t="s">
        <v>602</v>
      </c>
      <c r="D32" s="468"/>
      <c r="E32" s="21">
        <v>63500</v>
      </c>
      <c r="F32" s="468">
        <v>63500</v>
      </c>
      <c r="G32" s="21">
        <v>36500</v>
      </c>
      <c r="H32" s="33">
        <f t="shared" si="2"/>
        <v>36500</v>
      </c>
    </row>
    <row r="33" spans="1:8" ht="15.75" customHeight="1">
      <c r="A33" s="467" t="s">
        <v>613</v>
      </c>
      <c r="B33" s="468">
        <v>318000</v>
      </c>
      <c r="C33" s="473" t="s">
        <v>602</v>
      </c>
      <c r="D33" s="468"/>
      <c r="E33" s="21">
        <v>318000</v>
      </c>
      <c r="F33" s="468">
        <v>318000</v>
      </c>
      <c r="G33" s="21"/>
      <c r="H33" s="33">
        <f t="shared" si="2"/>
        <v>0</v>
      </c>
    </row>
    <row r="34" spans="1:8" ht="15.75" customHeight="1">
      <c r="A34" s="467" t="s">
        <v>614</v>
      </c>
      <c r="B34" s="468">
        <v>444000</v>
      </c>
      <c r="C34" s="473" t="s">
        <v>602</v>
      </c>
      <c r="D34" s="468"/>
      <c r="E34" s="21">
        <v>444000</v>
      </c>
      <c r="F34" s="468">
        <v>444000</v>
      </c>
      <c r="G34" s="21">
        <v>65000</v>
      </c>
      <c r="H34" s="33">
        <f t="shared" si="2"/>
        <v>65000</v>
      </c>
    </row>
    <row r="35" spans="1:8" ht="15.75" customHeight="1">
      <c r="A35" s="467" t="s">
        <v>588</v>
      </c>
      <c r="B35" s="468">
        <v>650000</v>
      </c>
      <c r="C35" s="473" t="s">
        <v>602</v>
      </c>
      <c r="D35" s="468"/>
      <c r="E35" s="518">
        <v>650000</v>
      </c>
      <c r="F35" s="468">
        <v>650000</v>
      </c>
      <c r="G35" s="21">
        <v>635738</v>
      </c>
      <c r="H35" s="33">
        <f t="shared" si="2"/>
        <v>635738</v>
      </c>
    </row>
    <row r="36" spans="1:8" ht="15.75" customHeight="1">
      <c r="A36" s="474" t="s">
        <v>615</v>
      </c>
      <c r="B36" s="475">
        <v>2540000</v>
      </c>
      <c r="C36" s="473" t="s">
        <v>602</v>
      </c>
      <c r="D36" s="475"/>
      <c r="E36" s="518">
        <v>2540000</v>
      </c>
      <c r="F36" s="475">
        <v>2540000</v>
      </c>
      <c r="G36" s="21"/>
      <c r="H36" s="33">
        <f t="shared" si="2"/>
        <v>0</v>
      </c>
    </row>
    <row r="37" spans="1:8" ht="15.75" customHeight="1" thickBot="1">
      <c r="A37" s="467" t="s">
        <v>616</v>
      </c>
      <c r="B37" s="468">
        <v>191000</v>
      </c>
      <c r="C37" s="473" t="s">
        <v>602</v>
      </c>
      <c r="D37" s="468"/>
      <c r="E37" s="518">
        <v>191000</v>
      </c>
      <c r="F37" s="468">
        <v>191000</v>
      </c>
      <c r="G37" s="468"/>
      <c r="H37" s="33">
        <f t="shared" si="2"/>
        <v>0</v>
      </c>
    </row>
    <row r="38" spans="1:8" s="36" customFormat="1" ht="18" customHeight="1" thickBot="1">
      <c r="A38" s="73" t="s">
        <v>50</v>
      </c>
      <c r="B38" s="35">
        <f>SUM(B7:B37)</f>
        <v>55595543</v>
      </c>
      <c r="C38" s="50"/>
      <c r="D38" s="35">
        <f>SUM(D7:D37)</f>
        <v>0</v>
      </c>
      <c r="E38" s="35">
        <f>SUM(E7:E37)</f>
        <v>54326893</v>
      </c>
      <c r="F38" s="35">
        <f>SUM(F7:F37)</f>
        <v>92772494</v>
      </c>
      <c r="G38" s="35">
        <f>SUM(G7:G37)</f>
        <v>25592917</v>
      </c>
      <c r="H38" s="35">
        <f>SUM(H7:H37)</f>
        <v>25592917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6"/>
  <sheetViews>
    <sheetView zoomScale="120" zoomScaleNormal="120" workbookViewId="0" topLeftCell="A1">
      <selection activeCell="D15" sqref="D15"/>
    </sheetView>
  </sheetViews>
  <sheetFormatPr defaultColWidth="9.37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75390625" style="26" customWidth="1"/>
    <col min="8" max="9" width="12.75390625" style="26" customWidth="1"/>
    <col min="10" max="10" width="13.75390625" style="26" customWidth="1"/>
    <col min="11" max="16384" width="9.375" style="26" customWidth="1"/>
  </cols>
  <sheetData>
    <row r="1" spans="1:7" ht="20.25" customHeight="1">
      <c r="A1" s="408"/>
      <c r="B1" s="558" t="str">
        <f>CONCATENATE("8. melléklet ",IB_ALAPADATOK!B7," ",IB_ALAPADATOK!C7," ",IB_ALAPADATOK!D7," ",IB_ALAPADATOK!E7)</f>
        <v>8. melléklet a 2022 I. félévi költségvetési tájékoztatóhoz</v>
      </c>
      <c r="C1" s="558"/>
      <c r="D1" s="558"/>
      <c r="E1" s="558"/>
      <c r="F1" s="558"/>
      <c r="G1" s="558"/>
    </row>
    <row r="2" spans="1:7" ht="12.75">
      <c r="A2" s="408"/>
      <c r="B2" s="409"/>
      <c r="C2" s="409"/>
      <c r="D2" s="409"/>
      <c r="E2" s="409"/>
      <c r="F2" s="409"/>
      <c r="G2" s="409"/>
    </row>
    <row r="3" spans="1:7" ht="24.75" customHeight="1">
      <c r="A3" s="557" t="s">
        <v>1</v>
      </c>
      <c r="B3" s="557"/>
      <c r="C3" s="557"/>
      <c r="D3" s="557"/>
      <c r="E3" s="557"/>
      <c r="F3" s="557"/>
      <c r="G3" s="557"/>
    </row>
    <row r="4" spans="1:7" ht="23.25" customHeight="1" thickBot="1">
      <c r="A4" s="408"/>
      <c r="B4" s="409"/>
      <c r="C4" s="409"/>
      <c r="D4" s="409"/>
      <c r="E4" s="409"/>
      <c r="F4" s="409"/>
      <c r="G4" s="410" t="str">
        <f>'7.sz.mell.'!H4</f>
        <v> Forintban!</v>
      </c>
    </row>
    <row r="5" spans="1:7" s="28" customFormat="1" ht="48.75" customHeight="1" thickBot="1">
      <c r="A5" s="411" t="s">
        <v>54</v>
      </c>
      <c r="B5" s="377" t="s">
        <v>52</v>
      </c>
      <c r="C5" s="377" t="s">
        <v>53</v>
      </c>
      <c r="D5" s="377" t="str">
        <f>+'7.sz.mell.'!D5</f>
        <v>Felhasználás   2021. XII. 31-ig</v>
      </c>
      <c r="E5" s="377" t="str">
        <f>+CONCATENATE(LEFT(IB_ÖSSZEFÜGGÉSEK!A6,4),". évi",CHAR(10),"módosított előirányzat")</f>
        <v>2022. évi
módosított előirányzat</v>
      </c>
      <c r="F5" s="377" t="str">
        <f>+CONCATENATE("Teljesítés",CHAR(10),LEFT(IB_ÖSSZEFÜGGÉSEK!A6,4),". VI. 30-ig")</f>
        <v>Teljesítés
2022. VI. 30-ig</v>
      </c>
      <c r="G5" s="378" t="str">
        <f>+CONCATENATE("Összes teljesítés",CHAR(10),LEFT(IB_ÖSSZEFÜGGÉSEK!A6,4),". VI. 30-ig")</f>
        <v>Összes teljesítés
2022. VI. 30-ig</v>
      </c>
    </row>
    <row r="6" spans="1:7" s="32" customFormat="1" ht="15" customHeight="1" thickBot="1">
      <c r="A6" s="412" t="s">
        <v>404</v>
      </c>
      <c r="B6" s="413" t="s">
        <v>405</v>
      </c>
      <c r="C6" s="413" t="s">
        <v>406</v>
      </c>
      <c r="D6" s="413" t="s">
        <v>408</v>
      </c>
      <c r="E6" s="413" t="s">
        <v>407</v>
      </c>
      <c r="F6" s="413" t="s">
        <v>409</v>
      </c>
      <c r="G6" s="414" t="s">
        <v>461</v>
      </c>
    </row>
    <row r="7" spans="1:7" ht="15.75" customHeight="1">
      <c r="A7" s="479"/>
      <c r="B7" s="480"/>
      <c r="C7" s="481"/>
      <c r="D7" s="38"/>
      <c r="E7" s="38"/>
      <c r="F7" s="38"/>
      <c r="G7" s="39">
        <f aca="true" t="shared" si="0" ref="G7:G15">B7-D7-F7</f>
        <v>0</v>
      </c>
    </row>
    <row r="8" spans="1:7" ht="15.75" customHeight="1">
      <c r="A8" s="479"/>
      <c r="B8" s="480"/>
      <c r="C8" s="481"/>
      <c r="D8" s="38"/>
      <c r="E8" s="38"/>
      <c r="F8" s="38"/>
      <c r="G8" s="39">
        <f t="shared" si="0"/>
        <v>0</v>
      </c>
    </row>
    <row r="9" spans="1:7" ht="15.75" customHeight="1" thickBot="1">
      <c r="A9" s="482"/>
      <c r="B9" s="483"/>
      <c r="C9" s="484"/>
      <c r="D9" s="490"/>
      <c r="E9" s="490"/>
      <c r="F9" s="490"/>
      <c r="G9" s="491">
        <f t="shared" si="0"/>
        <v>0</v>
      </c>
    </row>
    <row r="10" spans="1:7" ht="15.75" customHeight="1">
      <c r="A10" s="485"/>
      <c r="B10" s="486"/>
      <c r="C10" s="487"/>
      <c r="D10" s="486"/>
      <c r="E10" s="486"/>
      <c r="F10" s="486"/>
      <c r="G10" s="489">
        <f t="shared" si="0"/>
        <v>0</v>
      </c>
    </row>
    <row r="11" spans="1:7" ht="15.75" customHeight="1">
      <c r="A11" s="37"/>
      <c r="B11" s="38"/>
      <c r="C11" s="238"/>
      <c r="D11" s="38"/>
      <c r="E11" s="38"/>
      <c r="F11" s="38"/>
      <c r="G11" s="39">
        <f t="shared" si="0"/>
        <v>0</v>
      </c>
    </row>
    <row r="12" spans="1:7" ht="15.75" customHeight="1">
      <c r="A12" s="37"/>
      <c r="B12" s="38"/>
      <c r="C12" s="238"/>
      <c r="D12" s="38"/>
      <c r="E12" s="38"/>
      <c r="F12" s="38"/>
      <c r="G12" s="39">
        <f t="shared" si="0"/>
        <v>0</v>
      </c>
    </row>
    <row r="13" spans="1:7" ht="15.75" customHeight="1">
      <c r="A13" s="37"/>
      <c r="B13" s="38"/>
      <c r="C13" s="238"/>
      <c r="D13" s="38"/>
      <c r="E13" s="38"/>
      <c r="F13" s="38"/>
      <c r="G13" s="39">
        <f t="shared" si="0"/>
        <v>0</v>
      </c>
    </row>
    <row r="14" spans="1:7" ht="15.75" customHeight="1">
      <c r="A14" s="37"/>
      <c r="B14" s="38"/>
      <c r="C14" s="238"/>
      <c r="D14" s="38"/>
      <c r="E14" s="38"/>
      <c r="F14" s="38"/>
      <c r="G14" s="39">
        <f t="shared" si="0"/>
        <v>0</v>
      </c>
    </row>
    <row r="15" spans="1:7" ht="15.75" customHeight="1" thickBot="1">
      <c r="A15" s="237"/>
      <c r="B15" s="488"/>
      <c r="C15" s="238"/>
      <c r="D15" s="38"/>
      <c r="E15" s="38"/>
      <c r="F15" s="38"/>
      <c r="G15" s="39">
        <f t="shared" si="0"/>
        <v>0</v>
      </c>
    </row>
    <row r="16" spans="1:7" s="36" customFormat="1" ht="18" customHeight="1" thickBot="1">
      <c r="A16" s="73" t="s">
        <v>50</v>
      </c>
      <c r="B16" s="74">
        <f>SUM(B7:B15)</f>
        <v>0</v>
      </c>
      <c r="C16" s="51"/>
      <c r="D16" s="74">
        <f>SUM(D7:D15)</f>
        <v>0</v>
      </c>
      <c r="E16" s="74">
        <f>SUM(E7:E15)</f>
        <v>0</v>
      </c>
      <c r="F16" s="74">
        <f>SUM(F7:F15)</f>
        <v>0</v>
      </c>
      <c r="G16" s="40">
        <f>SUM(G7:G15)</f>
        <v>0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U50"/>
  <sheetViews>
    <sheetView zoomScale="120" zoomScaleNormal="120" zoomScaleSheetLayoutView="100" workbookViewId="0" topLeftCell="G4">
      <selection activeCell="W23" sqref="W23"/>
    </sheetView>
  </sheetViews>
  <sheetFormatPr defaultColWidth="9.375" defaultRowHeight="12.75"/>
  <cols>
    <col min="1" max="1" width="28.50390625" style="30" customWidth="1"/>
    <col min="2" max="18" width="10.00390625" style="30" customWidth="1"/>
    <col min="19" max="19" width="13.50390625" style="30" customWidth="1"/>
    <col min="20" max="20" width="10.00390625" style="30" customWidth="1"/>
    <col min="21" max="21" width="4.00390625" style="30" customWidth="1"/>
    <col min="22" max="16384" width="9.375" style="30" customWidth="1"/>
  </cols>
  <sheetData>
    <row r="1" spans="1:20" ht="13.5">
      <c r="A1" s="560" t="str">
        <f>CONCATENATE("9. melléklet ",'[1]Z_ALAPADATOK'!A7," ",'[1]Z_ALAPADATOK'!B7," ",'[1]Z_ALAPADATOK'!C7," ",'[1]Z_ALAPADATOK'!D7," ",'[1]Z_ALAPADATOK'!E7," ",'[1]Z_ALAPADATOK'!F7," ",'[1]Z_ALAPADATOK'!G7," ",'[1]Z_ALAPADATOK'!H7)</f>
        <v>9. melléklet a … / 2021. ( … ) önkormányzati rendelethez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</row>
    <row r="2" spans="1:20" ht="15">
      <c r="A2" s="561" t="s">
        <v>522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</row>
    <row r="3" spans="1:20" ht="15">
      <c r="A3" s="597" t="s">
        <v>590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</row>
    <row r="4" spans="1:21" ht="15.75" customHeight="1">
      <c r="A4" s="587" t="s">
        <v>589</v>
      </c>
      <c r="B4" s="587"/>
      <c r="C4" s="587"/>
      <c r="D4" s="452"/>
      <c r="E4" s="452"/>
      <c r="F4" s="598" t="s">
        <v>592</v>
      </c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76"/>
    </row>
    <row r="5" spans="1:21" ht="14.25" thickBot="1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577" t="str">
        <f>'[1]8'!G4</f>
        <v> Forintban!</v>
      </c>
      <c r="T5" s="577"/>
      <c r="U5" s="576"/>
    </row>
    <row r="6" spans="1:21" ht="13.5" customHeight="1" thickBot="1">
      <c r="A6" s="564" t="s">
        <v>87</v>
      </c>
      <c r="B6" s="568" t="s">
        <v>462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70"/>
      <c r="N6" s="578" t="s">
        <v>463</v>
      </c>
      <c r="O6" s="579"/>
      <c r="P6" s="579"/>
      <c r="Q6" s="579"/>
      <c r="R6" s="579"/>
      <c r="S6" s="579"/>
      <c r="T6" s="580"/>
      <c r="U6" s="576"/>
    </row>
    <row r="7" spans="1:21" ht="15" customHeight="1" thickBot="1">
      <c r="A7" s="565"/>
      <c r="B7" s="599" t="s">
        <v>464</v>
      </c>
      <c r="C7" s="562" t="s">
        <v>465</v>
      </c>
      <c r="D7" s="571" t="s">
        <v>466</v>
      </c>
      <c r="E7" s="572"/>
      <c r="F7" s="572"/>
      <c r="G7" s="572"/>
      <c r="H7" s="572"/>
      <c r="I7" s="572"/>
      <c r="J7" s="572"/>
      <c r="K7" s="572"/>
      <c r="L7" s="572"/>
      <c r="M7" s="573"/>
      <c r="N7" s="581"/>
      <c r="O7" s="582"/>
      <c r="P7" s="582"/>
      <c r="Q7" s="582"/>
      <c r="R7" s="582"/>
      <c r="S7" s="582"/>
      <c r="T7" s="583"/>
      <c r="U7" s="576"/>
    </row>
    <row r="8" spans="1:21" ht="13.5" thickBot="1">
      <c r="A8" s="565"/>
      <c r="B8" s="584"/>
      <c r="C8" s="563"/>
      <c r="D8" s="297" t="s">
        <v>464</v>
      </c>
      <c r="E8" s="297" t="s">
        <v>465</v>
      </c>
      <c r="F8" s="297" t="s">
        <v>464</v>
      </c>
      <c r="G8" s="297" t="s">
        <v>465</v>
      </c>
      <c r="H8" s="297" t="s">
        <v>464</v>
      </c>
      <c r="I8" s="297" t="s">
        <v>465</v>
      </c>
      <c r="J8" s="297" t="s">
        <v>464</v>
      </c>
      <c r="K8" s="297" t="s">
        <v>465</v>
      </c>
      <c r="L8" s="297" t="s">
        <v>464</v>
      </c>
      <c r="M8" s="297" t="s">
        <v>465</v>
      </c>
      <c r="N8" s="571"/>
      <c r="O8" s="572"/>
      <c r="P8" s="572"/>
      <c r="Q8" s="572"/>
      <c r="R8" s="572"/>
      <c r="S8" s="572"/>
      <c r="T8" s="573"/>
      <c r="U8" s="576"/>
    </row>
    <row r="9" spans="1:21" ht="30.75" thickBot="1">
      <c r="A9" s="566"/>
      <c r="B9" s="563" t="s">
        <v>467</v>
      </c>
      <c r="C9" s="563"/>
      <c r="D9" s="563">
        <v>2018</v>
      </c>
      <c r="E9" s="563"/>
      <c r="F9" s="563">
        <v>2019</v>
      </c>
      <c r="G9" s="563"/>
      <c r="H9" s="567">
        <v>2020</v>
      </c>
      <c r="I9" s="567"/>
      <c r="J9" s="584">
        <v>2021</v>
      </c>
      <c r="K9" s="584"/>
      <c r="L9" s="574">
        <v>2022</v>
      </c>
      <c r="M9" s="575"/>
      <c r="N9" s="380">
        <v>2018</v>
      </c>
      <c r="O9" s="380">
        <f>+F9</f>
        <v>2019</v>
      </c>
      <c r="P9" s="379">
        <f>+H9</f>
        <v>2020</v>
      </c>
      <c r="Q9" s="379">
        <v>2021</v>
      </c>
      <c r="R9" s="379" t="s">
        <v>599</v>
      </c>
      <c r="S9" s="296" t="s">
        <v>40</v>
      </c>
      <c r="T9" s="379" t="str">
        <f>+CONCATENATE("Teljesítés %-a ",LEFT('[1]Z_ÖSSZEFÜGGÉSEK'!A6,4),". XII. 31-ig")</f>
        <v>Teljesítés %-a 2020. XII. 31-ig</v>
      </c>
      <c r="U9" s="576"/>
    </row>
    <row r="10" spans="1:21" ht="13.5" thickBot="1">
      <c r="A10" s="298" t="s">
        <v>404</v>
      </c>
      <c r="B10" s="296" t="s">
        <v>405</v>
      </c>
      <c r="C10" s="296" t="s">
        <v>406</v>
      </c>
      <c r="D10" s="299" t="s">
        <v>408</v>
      </c>
      <c r="E10" s="297" t="s">
        <v>407</v>
      </c>
      <c r="F10" s="299" t="s">
        <v>408</v>
      </c>
      <c r="G10" s="297" t="s">
        <v>407</v>
      </c>
      <c r="H10" s="297" t="s">
        <v>409</v>
      </c>
      <c r="I10" s="297" t="s">
        <v>410</v>
      </c>
      <c r="J10" s="296" t="s">
        <v>411</v>
      </c>
      <c r="K10" s="299" t="s">
        <v>442</v>
      </c>
      <c r="L10" s="299" t="s">
        <v>468</v>
      </c>
      <c r="M10" s="299" t="s">
        <v>469</v>
      </c>
      <c r="N10" s="299" t="s">
        <v>591</v>
      </c>
      <c r="O10" s="299" t="s">
        <v>595</v>
      </c>
      <c r="P10" s="299" t="s">
        <v>596</v>
      </c>
      <c r="Q10" s="299" t="s">
        <v>597</v>
      </c>
      <c r="R10" s="299" t="s">
        <v>598</v>
      </c>
      <c r="S10" s="299" t="s">
        <v>600</v>
      </c>
      <c r="T10" s="300" t="s">
        <v>601</v>
      </c>
      <c r="U10" s="576"/>
    </row>
    <row r="11" spans="1:21" ht="12.75">
      <c r="A11" s="301" t="s">
        <v>88</v>
      </c>
      <c r="B11" s="347"/>
      <c r="C11" s="348"/>
      <c r="D11" s="348"/>
      <c r="E11" s="349"/>
      <c r="F11" s="348"/>
      <c r="G11" s="349"/>
      <c r="H11" s="348">
        <v>600000</v>
      </c>
      <c r="I11" s="348">
        <v>600000</v>
      </c>
      <c r="J11" s="348">
        <v>683700</v>
      </c>
      <c r="K11" s="348">
        <v>1493300</v>
      </c>
      <c r="L11" s="348">
        <v>1036149</v>
      </c>
      <c r="M11" s="348">
        <v>1036149</v>
      </c>
      <c r="N11" s="348"/>
      <c r="O11" s="348"/>
      <c r="P11" s="348"/>
      <c r="Q11" s="348"/>
      <c r="R11" s="508"/>
      <c r="S11" s="353">
        <f>N11+O11+P11+Q11</f>
        <v>0</v>
      </c>
      <c r="T11" s="350">
        <f aca="true" t="shared" si="0" ref="T11:T18">IF((C11&lt;&gt;0),ROUND((S11/C11)*100,1),"")</f>
      </c>
      <c r="U11" s="576"/>
    </row>
    <row r="12" spans="1:21" ht="12.75">
      <c r="A12" s="303" t="s">
        <v>100</v>
      </c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3">
        <f>N12+O12+P12+Q12</f>
        <v>0</v>
      </c>
      <c r="T12" s="354">
        <f t="shared" si="0"/>
      </c>
      <c r="U12" s="576"/>
    </row>
    <row r="13" spans="1:21" ht="12.75">
      <c r="A13" s="304" t="s">
        <v>89</v>
      </c>
      <c r="B13" s="355">
        <v>145309282</v>
      </c>
      <c r="C13" s="362">
        <v>145309282</v>
      </c>
      <c r="D13" s="356">
        <v>0</v>
      </c>
      <c r="E13" s="356">
        <v>36327320</v>
      </c>
      <c r="F13" s="356">
        <v>145309282</v>
      </c>
      <c r="G13" s="356">
        <v>108981962</v>
      </c>
      <c r="H13" s="356">
        <v>0</v>
      </c>
      <c r="I13" s="356">
        <v>0</v>
      </c>
      <c r="J13" s="356">
        <v>0</v>
      </c>
      <c r="K13" s="356">
        <v>0</v>
      </c>
      <c r="L13" s="356"/>
      <c r="M13" s="356"/>
      <c r="N13" s="356">
        <v>36327320</v>
      </c>
      <c r="O13" s="356">
        <v>108981962</v>
      </c>
      <c r="P13" s="356">
        <v>0</v>
      </c>
      <c r="Q13" s="356"/>
      <c r="R13" s="356"/>
      <c r="S13" s="353">
        <f>N13+O13+P13+Q13+R13</f>
        <v>145309282</v>
      </c>
      <c r="T13" s="354">
        <f t="shared" si="0"/>
        <v>100</v>
      </c>
      <c r="U13" s="576"/>
    </row>
    <row r="14" spans="1:21" ht="12.75">
      <c r="A14" s="304" t="s">
        <v>101</v>
      </c>
      <c r="B14" s="355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3">
        <f>N14+O14+P14+Q14</f>
        <v>0</v>
      </c>
      <c r="T14" s="354">
        <f t="shared" si="0"/>
      </c>
      <c r="U14" s="576"/>
    </row>
    <row r="15" spans="1:21" ht="12.75">
      <c r="A15" s="304" t="s">
        <v>90</v>
      </c>
      <c r="B15" s="355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3">
        <f>N15+O15+P15+Q15</f>
        <v>0</v>
      </c>
      <c r="T15" s="354">
        <f t="shared" si="0"/>
      </c>
      <c r="U15" s="576"/>
    </row>
    <row r="16" spans="1:21" ht="12.75">
      <c r="A16" s="304" t="s">
        <v>91</v>
      </c>
      <c r="B16" s="355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3">
        <f>N16+O16+P16+Q16</f>
        <v>0</v>
      </c>
      <c r="T16" s="354">
        <f t="shared" si="0"/>
      </c>
      <c r="U16" s="576"/>
    </row>
    <row r="17" spans="1:21" ht="15" customHeight="1" thickBot="1">
      <c r="A17" s="305"/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3">
        <f>N17+O17+P17+Q17</f>
        <v>0</v>
      </c>
      <c r="T17" s="359">
        <f t="shared" si="0"/>
      </c>
      <c r="U17" s="576"/>
    </row>
    <row r="18" spans="1:21" ht="13.5" thickBot="1">
      <c r="A18" s="307" t="s">
        <v>93</v>
      </c>
      <c r="B18" s="360">
        <f>B11+SUM(B13:B17)</f>
        <v>145309282</v>
      </c>
      <c r="C18" s="360">
        <f aca="true" t="shared" si="1" ref="C18:R18">C11+SUM(C13:C17)</f>
        <v>145309282</v>
      </c>
      <c r="D18" s="360">
        <f>D11+SUM(D13:D17)</f>
        <v>0</v>
      </c>
      <c r="E18" s="360">
        <f>E11+SUM(E13:E17)</f>
        <v>36327320</v>
      </c>
      <c r="F18" s="360">
        <f t="shared" si="1"/>
        <v>145309282</v>
      </c>
      <c r="G18" s="360">
        <f t="shared" si="1"/>
        <v>108981962</v>
      </c>
      <c r="H18" s="360">
        <f t="shared" si="1"/>
        <v>600000</v>
      </c>
      <c r="I18" s="360">
        <f t="shared" si="1"/>
        <v>600000</v>
      </c>
      <c r="J18" s="360">
        <f t="shared" si="1"/>
        <v>683700</v>
      </c>
      <c r="K18" s="360">
        <f t="shared" si="1"/>
        <v>1493300</v>
      </c>
      <c r="L18" s="360">
        <f t="shared" si="1"/>
        <v>1036149</v>
      </c>
      <c r="M18" s="360">
        <f t="shared" si="1"/>
        <v>1036149</v>
      </c>
      <c r="N18" s="360">
        <f>N11+SUM(N13:N17)</f>
        <v>36327320</v>
      </c>
      <c r="O18" s="360">
        <f t="shared" si="1"/>
        <v>108981962</v>
      </c>
      <c r="P18" s="360">
        <f t="shared" si="1"/>
        <v>0</v>
      </c>
      <c r="Q18" s="360">
        <f t="shared" si="1"/>
        <v>0</v>
      </c>
      <c r="R18" s="360">
        <f t="shared" si="1"/>
        <v>0</v>
      </c>
      <c r="S18" s="360">
        <f>S11+SUM(S12:S17)</f>
        <v>145309282</v>
      </c>
      <c r="T18" s="361">
        <f t="shared" si="0"/>
        <v>100</v>
      </c>
      <c r="U18" s="576"/>
    </row>
    <row r="19" spans="1:21" ht="12.75">
      <c r="A19" s="308"/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576"/>
    </row>
    <row r="20" spans="1:21" ht="13.5" thickBot="1">
      <c r="A20" s="311" t="s">
        <v>92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497"/>
      <c r="R20" s="497"/>
      <c r="S20" s="313"/>
      <c r="T20" s="313"/>
      <c r="U20" s="576"/>
    </row>
    <row r="21" spans="1:21" ht="13.5" thickBot="1">
      <c r="A21" s="314" t="s">
        <v>96</v>
      </c>
      <c r="B21" s="363"/>
      <c r="C21" s="363"/>
      <c r="D21" s="364"/>
      <c r="E21" s="365">
        <v>1250000</v>
      </c>
      <c r="F21" s="364">
        <v>1678870</v>
      </c>
      <c r="G21" s="364">
        <v>2400000</v>
      </c>
      <c r="H21" s="364">
        <v>510638</v>
      </c>
      <c r="I21" s="364">
        <v>510638</v>
      </c>
      <c r="J21" s="364">
        <v>600000</v>
      </c>
      <c r="K21" s="364">
        <v>600000</v>
      </c>
      <c r="L21" s="364">
        <v>326400</v>
      </c>
      <c r="M21" s="364">
        <v>326400</v>
      </c>
      <c r="N21" s="364">
        <v>1250000</v>
      </c>
      <c r="O21" s="364">
        <v>1800000</v>
      </c>
      <c r="P21" s="494">
        <v>0</v>
      </c>
      <c r="Q21" s="513"/>
      <c r="R21" s="365">
        <v>203400</v>
      </c>
      <c r="S21" s="496">
        <f>N21+O21+P21+Q21+R21</f>
        <v>3253400</v>
      </c>
      <c r="T21" s="366">
        <f aca="true" t="shared" si="2" ref="T21:T26">IF((C21&lt;&gt;0),ROUND((S21/C21)*100,1),"")</f>
      </c>
      <c r="U21" s="576"/>
    </row>
    <row r="22" spans="1:21" ht="13.5" thickBot="1">
      <c r="A22" s="315" t="s">
        <v>99</v>
      </c>
      <c r="B22" s="363"/>
      <c r="C22" s="363"/>
      <c r="D22" s="362"/>
      <c r="E22" s="492">
        <v>243750</v>
      </c>
      <c r="F22" s="493">
        <v>327380</v>
      </c>
      <c r="G22" s="493">
        <v>432380</v>
      </c>
      <c r="H22" s="493">
        <v>89362</v>
      </c>
      <c r="I22" s="493">
        <v>89362</v>
      </c>
      <c r="J22" s="362">
        <v>83700</v>
      </c>
      <c r="K22" s="362">
        <v>83700</v>
      </c>
      <c r="L22" s="493"/>
      <c r="M22" s="493"/>
      <c r="N22" s="493">
        <v>219375</v>
      </c>
      <c r="O22" s="493">
        <v>308701</v>
      </c>
      <c r="P22" s="495">
        <v>0</v>
      </c>
      <c r="Q22" s="495">
        <v>260000</v>
      </c>
      <c r="R22" s="362"/>
      <c r="S22" s="496">
        <f>N22+O22+P22+Q22+R22</f>
        <v>788076</v>
      </c>
      <c r="T22" s="367">
        <f t="shared" si="2"/>
      </c>
      <c r="U22" s="576"/>
    </row>
    <row r="23" spans="1:21" ht="13.5" thickBot="1">
      <c r="A23" s="315" t="s">
        <v>98</v>
      </c>
      <c r="B23" s="363"/>
      <c r="C23" s="363"/>
      <c r="D23" s="362"/>
      <c r="E23" s="362">
        <v>11510341</v>
      </c>
      <c r="F23" s="362">
        <v>17818892</v>
      </c>
      <c r="G23" s="362">
        <v>18123692</v>
      </c>
      <c r="H23" s="362">
        <v>2426960</v>
      </c>
      <c r="I23" s="362">
        <v>3581460</v>
      </c>
      <c r="J23" s="362">
        <v>934490</v>
      </c>
      <c r="K23" s="362">
        <v>1727790</v>
      </c>
      <c r="L23" s="362"/>
      <c r="M23" s="362"/>
      <c r="N23" s="362">
        <v>9194400</v>
      </c>
      <c r="O23" s="362">
        <v>16304950</v>
      </c>
      <c r="P23" s="495">
        <v>2116900</v>
      </c>
      <c r="Q23" s="495">
        <v>463550</v>
      </c>
      <c r="R23" s="362"/>
      <c r="S23" s="496">
        <f>N23+O23+P23+Q23+R23</f>
        <v>28079800</v>
      </c>
      <c r="T23" s="367">
        <f t="shared" si="2"/>
      </c>
      <c r="U23" s="576"/>
    </row>
    <row r="24" spans="1:21" ht="13.5" thickBot="1">
      <c r="A24" s="315" t="s">
        <v>97</v>
      </c>
      <c r="B24" s="363"/>
      <c r="C24" s="363"/>
      <c r="D24" s="362"/>
      <c r="E24" s="362">
        <v>46041365</v>
      </c>
      <c r="F24" s="362">
        <v>68814684</v>
      </c>
      <c r="G24" s="362">
        <v>69688754</v>
      </c>
      <c r="H24" s="362">
        <v>23325087</v>
      </c>
      <c r="I24" s="362">
        <v>23325087</v>
      </c>
      <c r="J24" s="362">
        <v>23112825</v>
      </c>
      <c r="K24" s="362">
        <v>23112825</v>
      </c>
      <c r="L24" s="362"/>
      <c r="M24" s="362"/>
      <c r="N24" s="362">
        <v>44436177</v>
      </c>
      <c r="O24" s="362">
        <v>45463345</v>
      </c>
      <c r="P24" s="495">
        <v>0</v>
      </c>
      <c r="Q24" s="495"/>
      <c r="R24" s="362"/>
      <c r="S24" s="496">
        <f>N24+O24+P24+Q24+R24</f>
        <v>89899522</v>
      </c>
      <c r="T24" s="367">
        <f t="shared" si="2"/>
      </c>
      <c r="U24" s="576"/>
    </row>
    <row r="25" spans="1:21" ht="13.5" thickBot="1">
      <c r="A25" s="316" t="s">
        <v>621</v>
      </c>
      <c r="B25" s="363"/>
      <c r="C25" s="363"/>
      <c r="D25" s="368"/>
      <c r="E25" s="368"/>
      <c r="F25" s="368"/>
      <c r="G25" s="368"/>
      <c r="H25" s="368"/>
      <c r="I25" s="368"/>
      <c r="J25" s="368"/>
      <c r="K25" s="368"/>
      <c r="L25" s="368">
        <v>659749</v>
      </c>
      <c r="M25" s="368">
        <v>659749</v>
      </c>
      <c r="N25" s="368"/>
      <c r="O25" s="368"/>
      <c r="P25" s="498"/>
      <c r="Q25" s="514"/>
      <c r="R25" s="368">
        <v>659749</v>
      </c>
      <c r="S25" s="496">
        <f>N25+O25+P25+Q25+R25</f>
        <v>659749</v>
      </c>
      <c r="T25" s="369">
        <f t="shared" si="2"/>
      </c>
      <c r="U25" s="576"/>
    </row>
    <row r="26" spans="1:21" ht="13.5" thickBot="1">
      <c r="A26" s="317" t="s">
        <v>78</v>
      </c>
      <c r="B26" s="370">
        <f aca="true" t="shared" si="3" ref="B26:R26">SUM(B21:B25)</f>
        <v>0</v>
      </c>
      <c r="C26" s="370">
        <f t="shared" si="3"/>
        <v>0</v>
      </c>
      <c r="D26" s="370">
        <f>SUM(D21:D25)</f>
        <v>0</v>
      </c>
      <c r="E26" s="370">
        <f>SUM(E21:E25)</f>
        <v>59045456</v>
      </c>
      <c r="F26" s="370">
        <f t="shared" si="3"/>
        <v>88639826</v>
      </c>
      <c r="G26" s="370">
        <f t="shared" si="3"/>
        <v>90644826</v>
      </c>
      <c r="H26" s="370">
        <f t="shared" si="3"/>
        <v>26352047</v>
      </c>
      <c r="I26" s="370">
        <f t="shared" si="3"/>
        <v>27506547</v>
      </c>
      <c r="J26" s="370">
        <f t="shared" si="3"/>
        <v>24731015</v>
      </c>
      <c r="K26" s="370">
        <f t="shared" si="3"/>
        <v>25524315</v>
      </c>
      <c r="L26" s="370">
        <f t="shared" si="3"/>
        <v>986149</v>
      </c>
      <c r="M26" s="370">
        <f t="shared" si="3"/>
        <v>986149</v>
      </c>
      <c r="N26" s="370">
        <f>SUM(N21:N25)</f>
        <v>55099952</v>
      </c>
      <c r="O26" s="370">
        <f t="shared" si="3"/>
        <v>63876996</v>
      </c>
      <c r="P26" s="370">
        <f t="shared" si="3"/>
        <v>2116900</v>
      </c>
      <c r="Q26" s="515">
        <f t="shared" si="3"/>
        <v>723550</v>
      </c>
      <c r="R26" s="370">
        <f t="shared" si="3"/>
        <v>863149</v>
      </c>
      <c r="S26" s="516">
        <f>SUM(S21:S25)</f>
        <v>122680547</v>
      </c>
      <c r="T26" s="371">
        <f t="shared" si="2"/>
      </c>
      <c r="U26" s="576"/>
    </row>
    <row r="27" spans="1:21" ht="12.75">
      <c r="A27" s="585" t="s">
        <v>520</v>
      </c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76"/>
    </row>
    <row r="28" spans="1:21" ht="5.25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576"/>
    </row>
    <row r="29" spans="1:21" ht="15">
      <c r="A29" s="586" t="str">
        <f>+CONCATENATE("Önkormányzaton kívüli EU-s projekthez történő hozzájárulás ",LEFT('[1]Z_ÖSSZEFÜGGÉSEK'!A6,4),". XII. 31.  előirányzata és teljesítése")</f>
        <v>Önkormányzaton kívüli EU-s projekthez történő hozzájárulás 2020. XII. 31.  előirányzata és teljesítése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76"/>
    </row>
    <row r="30" spans="1:21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588" t="str">
        <f>S5</f>
        <v> Forintban!</v>
      </c>
      <c r="T30" s="588"/>
      <c r="U30" s="576"/>
    </row>
    <row r="31" spans="1:21" ht="13.5" thickBot="1">
      <c r="A31" s="589" t="s">
        <v>94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319" t="s">
        <v>470</v>
      </c>
      <c r="Q31" s="319"/>
      <c r="R31" s="319"/>
      <c r="S31" s="319" t="s">
        <v>471</v>
      </c>
      <c r="T31" s="319" t="s">
        <v>463</v>
      </c>
      <c r="U31" s="576"/>
    </row>
    <row r="32" spans="1:21" ht="12.75">
      <c r="A32" s="591"/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302"/>
      <c r="Q32" s="320"/>
      <c r="R32" s="320"/>
      <c r="S32" s="320"/>
      <c r="T32" s="320"/>
      <c r="U32" s="576"/>
    </row>
    <row r="33" spans="1:21" ht="13.5" thickBot="1">
      <c r="A33" s="593"/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321"/>
      <c r="Q33" s="306"/>
      <c r="R33" s="306"/>
      <c r="S33" s="306"/>
      <c r="T33" s="306"/>
      <c r="U33" s="576"/>
    </row>
    <row r="34" spans="1:21" ht="13.5" thickBot="1">
      <c r="A34" s="595" t="s">
        <v>519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322">
        <f>SUM(P32:P33)</f>
        <v>0</v>
      </c>
      <c r="Q34" s="322"/>
      <c r="R34" s="322"/>
      <c r="S34" s="322">
        <f>SUM(S32:S33)</f>
        <v>0</v>
      </c>
      <c r="T34" s="322">
        <f>SUM(T32:T33)</f>
        <v>0</v>
      </c>
      <c r="U34" s="576"/>
    </row>
    <row r="35" ht="12.75">
      <c r="U35" s="576"/>
    </row>
    <row r="50" ht="12.75">
      <c r="A50" s="31"/>
    </row>
  </sheetData>
  <sheetProtection/>
  <mergeCells count="26">
    <mergeCell ref="A32:O32"/>
    <mergeCell ref="A33:O33"/>
    <mergeCell ref="A34:O34"/>
    <mergeCell ref="A3:T3"/>
    <mergeCell ref="F4:T4"/>
    <mergeCell ref="B7:B8"/>
    <mergeCell ref="U4:U35"/>
    <mergeCell ref="S5:T5"/>
    <mergeCell ref="N6:T8"/>
    <mergeCell ref="J9:K9"/>
    <mergeCell ref="A27:T27"/>
    <mergeCell ref="A29:T29"/>
    <mergeCell ref="F9:G9"/>
    <mergeCell ref="A4:C4"/>
    <mergeCell ref="S30:T30"/>
    <mergeCell ref="A31:O31"/>
    <mergeCell ref="A1:T1"/>
    <mergeCell ref="A2:T2"/>
    <mergeCell ref="C7:C8"/>
    <mergeCell ref="B9:C9"/>
    <mergeCell ref="D9:E9"/>
    <mergeCell ref="A6:A9"/>
    <mergeCell ref="H9:I9"/>
    <mergeCell ref="B6:M6"/>
    <mergeCell ref="D7:M7"/>
    <mergeCell ref="L9:M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  <headerFooter alignWithMargins="0">
    <oddHeader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zoomScale="120" zoomScaleNormal="120" zoomScaleSheetLayoutView="100" workbookViewId="0" topLeftCell="A133">
      <selection activeCell="D158" sqref="D158"/>
    </sheetView>
  </sheetViews>
  <sheetFormatPr defaultColWidth="9.375" defaultRowHeight="12.75"/>
  <cols>
    <col min="1" max="1" width="16.125" style="172" customWidth="1"/>
    <col min="2" max="2" width="63.75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04" t="str">
        <f>CONCATENATE("10. melléklet ",IB_ALAPADATOK!B7," ",IB_ALAPADATOK!C7," ",IB_ALAPADATOK!D7," ",IB_ALAPADATOK!E7)</f>
        <v>10. melléklet a 2022 I. félévi költségvetési tájékoztatóhoz</v>
      </c>
      <c r="C1" s="605"/>
      <c r="D1" s="605"/>
      <c r="E1" s="605"/>
    </row>
    <row r="2" spans="1:5" s="45" customFormat="1" ht="21" customHeight="1" thickBot="1">
      <c r="A2" s="401" t="s">
        <v>48</v>
      </c>
      <c r="B2" s="603" t="str">
        <f>CONCATENATE(IB_ALAPADATOK!B3)</f>
        <v>Balatonvilágos Község Önkormányzata</v>
      </c>
      <c r="C2" s="603"/>
      <c r="D2" s="603"/>
      <c r="E2" s="402" t="s">
        <v>42</v>
      </c>
    </row>
    <row r="3" spans="1:5" s="45" customFormat="1" ht="23.25" thickBot="1">
      <c r="A3" s="401" t="s">
        <v>141</v>
      </c>
      <c r="B3" s="603" t="s">
        <v>319</v>
      </c>
      <c r="C3" s="603"/>
      <c r="D3" s="603"/>
      <c r="E3" s="403" t="s">
        <v>42</v>
      </c>
    </row>
    <row r="4" spans="1:5" s="46" customFormat="1" ht="15.75" customHeight="1" thickBot="1">
      <c r="A4" s="395"/>
      <c r="B4" s="395"/>
      <c r="C4" s="396"/>
      <c r="D4" s="397"/>
      <c r="E4" s="406" t="str">
        <f>'8.sz.mell.'!G4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0" t="s">
        <v>43</v>
      </c>
      <c r="B7" s="601"/>
      <c r="C7" s="601"/>
      <c r="D7" s="601"/>
      <c r="E7" s="602"/>
    </row>
    <row r="8" spans="1:5" s="41" customFormat="1" ht="12" customHeight="1" thickBot="1">
      <c r="A8" s="24" t="s">
        <v>9</v>
      </c>
      <c r="B8" s="19" t="s">
        <v>174</v>
      </c>
      <c r="C8" s="263">
        <f>+C9+C10+C11+C12+C13+C14+C15</f>
        <v>124238073</v>
      </c>
      <c r="D8" s="263">
        <f>+D9+D10+D11+D12+D13+D14+D15</f>
        <v>135925239</v>
      </c>
      <c r="E8" s="263">
        <f>+E9+E10+E11+E12+E13+E14+E15</f>
        <v>83303763</v>
      </c>
    </row>
    <row r="9" spans="1:5" s="47" customFormat="1" ht="12" customHeight="1">
      <c r="A9" s="209" t="s">
        <v>67</v>
      </c>
      <c r="B9" s="192" t="s">
        <v>175</v>
      </c>
      <c r="C9" s="253">
        <v>34249830</v>
      </c>
      <c r="D9" s="181">
        <v>34249830</v>
      </c>
      <c r="E9" s="117">
        <v>17809909</v>
      </c>
    </row>
    <row r="10" spans="1:5" s="48" customFormat="1" ht="12" customHeight="1">
      <c r="A10" s="210" t="s">
        <v>68</v>
      </c>
      <c r="B10" s="193" t="s">
        <v>176</v>
      </c>
      <c r="C10" s="180">
        <v>44591080</v>
      </c>
      <c r="D10" s="180">
        <v>44591080</v>
      </c>
      <c r="E10" s="116">
        <v>23187360</v>
      </c>
    </row>
    <row r="11" spans="1:5" s="48" customFormat="1" ht="12" customHeight="1">
      <c r="A11" s="210" t="s">
        <v>69</v>
      </c>
      <c r="B11" s="193" t="s">
        <v>177</v>
      </c>
      <c r="C11" s="180">
        <v>10296930</v>
      </c>
      <c r="D11" s="180">
        <v>10572096</v>
      </c>
      <c r="E11" s="116">
        <v>5774207</v>
      </c>
    </row>
    <row r="12" spans="1:5" s="48" customFormat="1" ht="12" customHeight="1">
      <c r="A12" s="210" t="s">
        <v>70</v>
      </c>
      <c r="B12" s="193" t="s">
        <v>578</v>
      </c>
      <c r="C12" s="180">
        <v>27935896</v>
      </c>
      <c r="D12" s="180">
        <v>27935896</v>
      </c>
      <c r="E12" s="116">
        <v>14526667</v>
      </c>
    </row>
    <row r="13" spans="1:5" s="48" customFormat="1" ht="12" customHeight="1">
      <c r="A13" s="210" t="s">
        <v>102</v>
      </c>
      <c r="B13" s="193" t="s">
        <v>178</v>
      </c>
      <c r="C13" s="180">
        <v>3248684</v>
      </c>
      <c r="D13" s="180">
        <v>3248684</v>
      </c>
      <c r="E13" s="116">
        <v>1689317</v>
      </c>
    </row>
    <row r="14" spans="1:5" s="48" customFormat="1" ht="12" customHeight="1">
      <c r="A14" s="210" t="s">
        <v>71</v>
      </c>
      <c r="B14" s="193" t="s">
        <v>412</v>
      </c>
      <c r="C14" s="180">
        <v>3915653</v>
      </c>
      <c r="D14" s="265">
        <v>15327653</v>
      </c>
      <c r="E14" s="116">
        <v>20078633</v>
      </c>
    </row>
    <row r="15" spans="1:5" s="47" customFormat="1" ht="12" customHeight="1" thickBot="1">
      <c r="A15" s="210" t="s">
        <v>72</v>
      </c>
      <c r="B15" s="499" t="s">
        <v>593</v>
      </c>
      <c r="C15" s="180"/>
      <c r="D15" s="265"/>
      <c r="E15" s="116">
        <v>237670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19409000</v>
      </c>
      <c r="D16" s="263">
        <f>+D17+D18+D19+D20+D21</f>
        <v>23607725</v>
      </c>
      <c r="E16" s="115">
        <f>+E17+E18+E19+E20+E21</f>
        <v>14466725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0">
        <v>19409000</v>
      </c>
      <c r="D21" s="264">
        <v>23607725</v>
      </c>
      <c r="E21" s="116">
        <v>14466725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372742</v>
      </c>
      <c r="D23" s="263">
        <f>+D24+D25+D26+D27+D28</f>
        <v>22436106</v>
      </c>
      <c r="E23" s="115">
        <f>+E24+E25+E26+E27+E28</f>
        <v>22396006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>
        <v>372742</v>
      </c>
      <c r="D26" s="265">
        <v>372742</v>
      </c>
      <c r="E26" s="116">
        <v>332642</v>
      </c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>
        <v>22063364</v>
      </c>
      <c r="E28" s="116">
        <v>22063364</v>
      </c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SUM(C31:C39)</f>
        <v>181442270</v>
      </c>
      <c r="D30" s="185">
        <f>SUM(D31:D39)</f>
        <v>181442270</v>
      </c>
      <c r="E30" s="221">
        <f>SUM(E31:E39)</f>
        <v>134520011</v>
      </c>
    </row>
    <row r="31" spans="1:5" s="48" customFormat="1" ht="12" customHeight="1">
      <c r="A31" s="209" t="s">
        <v>189</v>
      </c>
      <c r="B31" s="192" t="s">
        <v>498</v>
      </c>
      <c r="C31" s="454">
        <v>127000000</v>
      </c>
      <c r="D31" s="454">
        <v>127000000</v>
      </c>
      <c r="E31" s="117">
        <v>85153768</v>
      </c>
    </row>
    <row r="32" spans="1:5" s="48" customFormat="1" ht="12" customHeight="1">
      <c r="A32" s="209" t="s">
        <v>190</v>
      </c>
      <c r="B32" s="193" t="s">
        <v>617</v>
      </c>
      <c r="C32" s="180">
        <v>150000</v>
      </c>
      <c r="D32" s="180">
        <v>150000</v>
      </c>
      <c r="E32" s="116">
        <v>96000</v>
      </c>
    </row>
    <row r="33" spans="1:5" s="48" customFormat="1" ht="12" customHeight="1">
      <c r="A33" s="210" t="s">
        <v>191</v>
      </c>
      <c r="B33" s="193" t="s">
        <v>579</v>
      </c>
      <c r="C33" s="180">
        <v>10000000</v>
      </c>
      <c r="D33" s="180">
        <v>10000000</v>
      </c>
      <c r="E33" s="116">
        <v>10224598</v>
      </c>
    </row>
    <row r="34" spans="1:5" s="48" customFormat="1" ht="12" customHeight="1">
      <c r="A34" s="210" t="s">
        <v>192</v>
      </c>
      <c r="B34" s="193" t="s">
        <v>500</v>
      </c>
      <c r="C34" s="180">
        <v>35000000</v>
      </c>
      <c r="D34" s="180">
        <v>35000000</v>
      </c>
      <c r="E34" s="116">
        <v>33705792</v>
      </c>
    </row>
    <row r="35" spans="1:5" s="48" customFormat="1" ht="12" customHeight="1">
      <c r="A35" s="210" t="s">
        <v>502</v>
      </c>
      <c r="B35" s="193" t="s">
        <v>618</v>
      </c>
      <c r="C35" s="180">
        <v>3442270</v>
      </c>
      <c r="D35" s="180">
        <v>3442270</v>
      </c>
      <c r="E35" s="116">
        <v>2402551</v>
      </c>
    </row>
    <row r="36" spans="1:5" s="48" customFormat="1" ht="12" customHeight="1">
      <c r="A36" s="210" t="s">
        <v>503</v>
      </c>
      <c r="B36" s="193" t="s">
        <v>619</v>
      </c>
      <c r="C36" s="180">
        <v>5000000</v>
      </c>
      <c r="D36" s="180">
        <v>5000000</v>
      </c>
      <c r="E36" s="116">
        <v>2443200</v>
      </c>
    </row>
    <row r="37" spans="1:5" s="48" customFormat="1" ht="12" customHeight="1">
      <c r="A37" s="210" t="s">
        <v>504</v>
      </c>
      <c r="B37" s="339" t="s">
        <v>501</v>
      </c>
      <c r="C37" s="180">
        <v>200000</v>
      </c>
      <c r="D37" s="180">
        <v>200000</v>
      </c>
      <c r="E37" s="118">
        <v>209100</v>
      </c>
    </row>
    <row r="38" spans="1:5" s="48" customFormat="1" ht="12" customHeight="1">
      <c r="A38" s="211" t="s">
        <v>582</v>
      </c>
      <c r="B38" s="509" t="s">
        <v>620</v>
      </c>
      <c r="C38" s="180">
        <v>650000</v>
      </c>
      <c r="D38" s="180">
        <v>650000</v>
      </c>
      <c r="E38" s="118">
        <v>285002</v>
      </c>
    </row>
    <row r="39" spans="1:5" s="48" customFormat="1" ht="12" customHeight="1" thickBot="1">
      <c r="A39" s="211" t="s">
        <v>584</v>
      </c>
      <c r="B39" s="339"/>
      <c r="C39" s="182"/>
      <c r="D39" s="182"/>
      <c r="E39" s="118"/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17199995</v>
      </c>
      <c r="D40" s="263">
        <f>SUM(D41:D51)</f>
        <v>17199995</v>
      </c>
      <c r="E40" s="115">
        <f>SUM(E41:E51)</f>
        <v>13209783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180">
        <v>11716082</v>
      </c>
      <c r="D42" s="180">
        <v>11716082</v>
      </c>
      <c r="E42" s="116">
        <v>9204373</v>
      </c>
    </row>
    <row r="43" spans="1:5" s="48" customFormat="1" ht="12" customHeight="1">
      <c r="A43" s="210" t="s">
        <v>62</v>
      </c>
      <c r="B43" s="193" t="s">
        <v>200</v>
      </c>
      <c r="C43" s="180">
        <v>446664</v>
      </c>
      <c r="D43" s="180">
        <v>446664</v>
      </c>
      <c r="E43" s="116">
        <v>190746</v>
      </c>
    </row>
    <row r="44" spans="1:5" s="48" customFormat="1" ht="12" customHeight="1">
      <c r="A44" s="210" t="s">
        <v>120</v>
      </c>
      <c r="B44" s="193" t="s">
        <v>201</v>
      </c>
      <c r="C44" s="180">
        <v>2500000</v>
      </c>
      <c r="D44" s="180">
        <v>2500000</v>
      </c>
      <c r="E44" s="116">
        <v>1556516</v>
      </c>
    </row>
    <row r="45" spans="1:5" s="48" customFormat="1" ht="12" customHeight="1">
      <c r="A45" s="210" t="s">
        <v>121</v>
      </c>
      <c r="B45" s="193" t="s">
        <v>202</v>
      </c>
      <c r="C45" s="180"/>
      <c r="D45" s="180"/>
      <c r="E45" s="116"/>
    </row>
    <row r="46" spans="1:5" s="48" customFormat="1" ht="12" customHeight="1">
      <c r="A46" s="210" t="s">
        <v>122</v>
      </c>
      <c r="B46" s="193" t="s">
        <v>203</v>
      </c>
      <c r="C46" s="180">
        <v>2527249</v>
      </c>
      <c r="D46" s="180">
        <v>2527249</v>
      </c>
      <c r="E46" s="116">
        <v>2192520</v>
      </c>
    </row>
    <row r="47" spans="1:5" s="48" customFormat="1" ht="12" customHeight="1">
      <c r="A47" s="210" t="s">
        <v>123</v>
      </c>
      <c r="B47" s="193" t="s">
        <v>204</v>
      </c>
      <c r="C47" s="180"/>
      <c r="D47" s="180"/>
      <c r="E47" s="116"/>
    </row>
    <row r="48" spans="1:5" s="48" customFormat="1" ht="12" customHeight="1">
      <c r="A48" s="210" t="s">
        <v>124</v>
      </c>
      <c r="B48" s="193" t="s">
        <v>505</v>
      </c>
      <c r="C48" s="180">
        <v>10000</v>
      </c>
      <c r="D48" s="180">
        <v>10000</v>
      </c>
      <c r="E48" s="116">
        <v>139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2489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63000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183"/>
      <c r="E54" s="119"/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0</v>
      </c>
      <c r="D63" s="263">
        <f>SUM(D64:D66)</f>
        <v>0</v>
      </c>
      <c r="E63" s="115">
        <f>SUM(E64:E66)</f>
        <v>0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/>
      <c r="D65" s="183"/>
      <c r="E65" s="119"/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/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342662080</v>
      </c>
      <c r="D68" s="267">
        <f>+D8+D16+D23+D30+D40+D52+D58+D63</f>
        <v>380611335</v>
      </c>
      <c r="E68" s="221">
        <f>+E8+E16+E23+E30+E40+E52+E58+E63</f>
        <v>267896288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378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512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513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257888464</v>
      </c>
      <c r="E78" s="115">
        <f>SUM(E79:E80)</f>
        <v>257888464</v>
      </c>
    </row>
    <row r="79" spans="1:5" s="48" customFormat="1" ht="12" customHeight="1">
      <c r="A79" s="209" t="s">
        <v>261</v>
      </c>
      <c r="B79" s="192" t="s">
        <v>240</v>
      </c>
      <c r="C79" s="183">
        <v>231000000</v>
      </c>
      <c r="D79" s="183">
        <v>257888464</v>
      </c>
      <c r="E79" s="119">
        <v>257888464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2112805</v>
      </c>
      <c r="E81" s="115">
        <f>SUM(E82:E84)</f>
        <v>2112805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>
        <v>2112805</v>
      </c>
      <c r="E82" s="119">
        <v>2112805</v>
      </c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514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260001269</v>
      </c>
      <c r="E92" s="221">
        <f>+E69+E73+E78+E81+E85+E91+E90</f>
        <v>260001269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573662080</v>
      </c>
      <c r="D93" s="185">
        <f>+D68+D92</f>
        <v>640612604</v>
      </c>
      <c r="E93" s="221">
        <f>+E68+E92</f>
        <v>527897557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00" t="s">
        <v>44</v>
      </c>
      <c r="B95" s="601"/>
      <c r="C95" s="601"/>
      <c r="D95" s="601"/>
      <c r="E95" s="602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158473094</v>
      </c>
      <c r="D96" s="178">
        <f>+D97+D98+D99+D100+D101+D114</f>
        <v>179646349</v>
      </c>
      <c r="E96" s="246">
        <f>+E97+E98+E99+E100+E101+E114</f>
        <v>69748206</v>
      </c>
    </row>
    <row r="97" spans="1:5" ht="12" customHeight="1">
      <c r="A97" s="217" t="s">
        <v>67</v>
      </c>
      <c r="B97" s="8" t="s">
        <v>38</v>
      </c>
      <c r="C97" s="253">
        <v>26018790</v>
      </c>
      <c r="D97" s="510">
        <v>25996330</v>
      </c>
      <c r="E97" s="247">
        <v>8263253</v>
      </c>
    </row>
    <row r="98" spans="1:5" ht="12" customHeight="1">
      <c r="A98" s="210" t="s">
        <v>68</v>
      </c>
      <c r="B98" s="6" t="s">
        <v>128</v>
      </c>
      <c r="C98" s="180">
        <v>2702452</v>
      </c>
      <c r="D98" s="265">
        <v>2699319</v>
      </c>
      <c r="E98" s="116">
        <v>1283799</v>
      </c>
    </row>
    <row r="99" spans="1:5" ht="12" customHeight="1">
      <c r="A99" s="210" t="s">
        <v>69</v>
      </c>
      <c r="B99" s="6" t="s">
        <v>95</v>
      </c>
      <c r="C99" s="182">
        <v>50165160</v>
      </c>
      <c r="D99" s="265">
        <v>50481753</v>
      </c>
      <c r="E99" s="118">
        <v>17765678</v>
      </c>
    </row>
    <row r="100" spans="1:5" ht="12" customHeight="1">
      <c r="A100" s="210" t="s">
        <v>70</v>
      </c>
      <c r="B100" s="9" t="s">
        <v>129</v>
      </c>
      <c r="C100" s="182">
        <v>5840000</v>
      </c>
      <c r="D100" s="266">
        <v>5840000</v>
      </c>
      <c r="E100" s="118">
        <v>1394000</v>
      </c>
    </row>
    <row r="101" spans="1:5" ht="12" customHeight="1">
      <c r="A101" s="210" t="s">
        <v>79</v>
      </c>
      <c r="B101" s="17" t="s">
        <v>130</v>
      </c>
      <c r="C101" s="182">
        <v>57464904</v>
      </c>
      <c r="D101" s="180">
        <v>68297155</v>
      </c>
      <c r="E101" s="118">
        <v>41041476</v>
      </c>
    </row>
    <row r="102" spans="1:5" ht="12" customHeight="1">
      <c r="A102" s="210" t="s">
        <v>71</v>
      </c>
      <c r="B102" s="6" t="s">
        <v>417</v>
      </c>
      <c r="C102" s="182">
        <v>696579</v>
      </c>
      <c r="D102" s="511"/>
      <c r="E102" s="118">
        <v>36830</v>
      </c>
    </row>
    <row r="103" spans="1:5" ht="12" customHeight="1">
      <c r="A103" s="210" t="s">
        <v>72</v>
      </c>
      <c r="B103" s="59" t="s">
        <v>358</v>
      </c>
      <c r="C103" s="182">
        <v>2961554</v>
      </c>
      <c r="D103" s="266">
        <v>2961554</v>
      </c>
      <c r="E103" s="118">
        <v>1540006</v>
      </c>
    </row>
    <row r="104" spans="1:5" ht="12" customHeight="1">
      <c r="A104" s="210" t="s">
        <v>80</v>
      </c>
      <c r="B104" s="59" t="s">
        <v>357</v>
      </c>
      <c r="C104" s="182"/>
      <c r="D104" s="266"/>
      <c r="E104" s="118"/>
    </row>
    <row r="105" spans="1:5" ht="12" customHeight="1">
      <c r="A105" s="210" t="s">
        <v>81</v>
      </c>
      <c r="B105" s="59" t="s">
        <v>272</v>
      </c>
      <c r="C105" s="182"/>
      <c r="D105" s="266"/>
      <c r="E105" s="118"/>
    </row>
    <row r="106" spans="1:5" ht="12" customHeight="1">
      <c r="A106" s="210" t="s">
        <v>82</v>
      </c>
      <c r="B106" s="60" t="s">
        <v>273</v>
      </c>
      <c r="C106" s="182"/>
      <c r="D106" s="266">
        <v>36830</v>
      </c>
      <c r="E106" s="118"/>
    </row>
    <row r="107" spans="1:5" ht="12" customHeight="1">
      <c r="A107" s="210" t="s">
        <v>83</v>
      </c>
      <c r="B107" s="60" t="s">
        <v>274</v>
      </c>
      <c r="C107" s="182"/>
      <c r="D107" s="266"/>
      <c r="E107" s="118"/>
    </row>
    <row r="108" spans="1:5" ht="12" customHeight="1">
      <c r="A108" s="210" t="s">
        <v>85</v>
      </c>
      <c r="B108" s="59" t="s">
        <v>275</v>
      </c>
      <c r="C108" s="182">
        <v>51405046</v>
      </c>
      <c r="D108" s="266">
        <v>51675046</v>
      </c>
      <c r="E108" s="118">
        <v>26779077</v>
      </c>
    </row>
    <row r="109" spans="1:5" ht="12" customHeight="1">
      <c r="A109" s="210" t="s">
        <v>131</v>
      </c>
      <c r="B109" s="59" t="s">
        <v>276</v>
      </c>
      <c r="C109" s="182"/>
      <c r="D109" s="266"/>
      <c r="E109" s="118"/>
    </row>
    <row r="110" spans="1:5" ht="12" customHeight="1">
      <c r="A110" s="210" t="s">
        <v>270</v>
      </c>
      <c r="B110" s="60" t="s">
        <v>277</v>
      </c>
      <c r="C110" s="182"/>
      <c r="D110" s="266"/>
      <c r="E110" s="118"/>
    </row>
    <row r="111" spans="1:5" ht="12" customHeight="1">
      <c r="A111" s="218" t="s">
        <v>271</v>
      </c>
      <c r="B111" s="61" t="s">
        <v>278</v>
      </c>
      <c r="C111" s="182"/>
      <c r="D111" s="266"/>
      <c r="E111" s="118"/>
    </row>
    <row r="112" spans="1:5" ht="12" customHeight="1">
      <c r="A112" s="210" t="s">
        <v>355</v>
      </c>
      <c r="B112" s="61" t="s">
        <v>279</v>
      </c>
      <c r="C112" s="182"/>
      <c r="D112" s="266"/>
      <c r="E112" s="118"/>
    </row>
    <row r="113" spans="1:5" ht="12" customHeight="1">
      <c r="A113" s="210" t="s">
        <v>356</v>
      </c>
      <c r="B113" s="60" t="s">
        <v>280</v>
      </c>
      <c r="C113" s="180">
        <v>2401725</v>
      </c>
      <c r="D113" s="265">
        <v>13623725</v>
      </c>
      <c r="E113" s="116">
        <v>12685563</v>
      </c>
    </row>
    <row r="114" spans="1:5" ht="12" customHeight="1">
      <c r="A114" s="210" t="s">
        <v>360</v>
      </c>
      <c r="B114" s="9" t="s">
        <v>39</v>
      </c>
      <c r="C114" s="180">
        <v>16281788</v>
      </c>
      <c r="D114" s="265">
        <v>26331792</v>
      </c>
      <c r="E114" s="116"/>
    </row>
    <row r="115" spans="1:5" ht="12" customHeight="1">
      <c r="A115" s="211" t="s">
        <v>361</v>
      </c>
      <c r="B115" s="6" t="s">
        <v>418</v>
      </c>
      <c r="C115" s="182">
        <v>8330929</v>
      </c>
      <c r="D115" s="266">
        <v>18380933</v>
      </c>
      <c r="E115" s="118"/>
    </row>
    <row r="116" spans="1:5" ht="12" customHeight="1" thickBot="1">
      <c r="A116" s="219" t="s">
        <v>362</v>
      </c>
      <c r="B116" s="62" t="s">
        <v>419</v>
      </c>
      <c r="C116" s="254">
        <v>7950859</v>
      </c>
      <c r="D116" s="330">
        <v>7950859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44004143</v>
      </c>
      <c r="D117" s="263">
        <f>+D118+D120+D122</f>
        <v>86208587</v>
      </c>
      <c r="E117" s="115">
        <f>+E118+E120+E122</f>
        <v>24166349</v>
      </c>
    </row>
    <row r="118" spans="1:5" ht="12" customHeight="1">
      <c r="A118" s="209" t="s">
        <v>73</v>
      </c>
      <c r="B118" s="6" t="s">
        <v>156</v>
      </c>
      <c r="C118" s="181">
        <v>42004143</v>
      </c>
      <c r="D118" s="264">
        <v>80175744</v>
      </c>
      <c r="E118" s="117">
        <v>19633506</v>
      </c>
    </row>
    <row r="119" spans="1:5" ht="12" customHeight="1">
      <c r="A119" s="209" t="s">
        <v>74</v>
      </c>
      <c r="B119" s="10" t="s">
        <v>285</v>
      </c>
      <c r="C119" s="181"/>
      <c r="D119" s="264"/>
      <c r="E119" s="117"/>
    </row>
    <row r="120" spans="1:5" ht="12" customHeight="1">
      <c r="A120" s="209" t="s">
        <v>75</v>
      </c>
      <c r="B120" s="10" t="s">
        <v>132</v>
      </c>
      <c r="C120" s="180"/>
      <c r="D120" s="265"/>
      <c r="E120" s="116"/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>
        <v>2000000</v>
      </c>
      <c r="D122" s="265">
        <v>6032843</v>
      </c>
      <c r="E122" s="116">
        <v>4532843</v>
      </c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>
        <v>1028112</v>
      </c>
      <c r="E126" s="116">
        <v>1028112</v>
      </c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>
        <v>2000000</v>
      </c>
      <c r="D128" s="265">
        <v>2000000</v>
      </c>
      <c r="E128" s="116">
        <v>500000</v>
      </c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>
        <v>3004731</v>
      </c>
      <c r="E130" s="118">
        <v>3004731</v>
      </c>
    </row>
    <row r="131" spans="1:5" ht="12" customHeight="1" thickBot="1">
      <c r="A131" s="24" t="s">
        <v>11</v>
      </c>
      <c r="B131" s="53" t="s">
        <v>365</v>
      </c>
      <c r="C131" s="179">
        <f>+C96+C117</f>
        <v>202477237</v>
      </c>
      <c r="D131" s="263">
        <f>+D96+D117</f>
        <v>265854936</v>
      </c>
      <c r="E131" s="115">
        <f>+E96+E117</f>
        <v>93914555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371184843</v>
      </c>
      <c r="D143" s="267">
        <f>+D144+D145+D147+D148+D146</f>
        <v>374757668</v>
      </c>
      <c r="E143" s="221">
        <f>+E144+E145+E147+E148+E146</f>
        <v>166277055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80">
        <v>4440354</v>
      </c>
      <c r="D145" s="265">
        <v>6553159</v>
      </c>
      <c r="E145" s="116">
        <v>6553159</v>
      </c>
    </row>
    <row r="146" spans="1:5" ht="12" customHeight="1">
      <c r="A146" s="209" t="s">
        <v>209</v>
      </c>
      <c r="B146" s="7" t="s">
        <v>435</v>
      </c>
      <c r="C146" s="180">
        <v>366744489</v>
      </c>
      <c r="D146" s="265">
        <v>368204509</v>
      </c>
      <c r="E146" s="116">
        <v>159723896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371184843</v>
      </c>
      <c r="D157" s="270">
        <f>+D132+D136+D143+D149+D155+D156</f>
        <v>374757668</v>
      </c>
      <c r="E157" s="252">
        <f>+E132+E136+E143+E149+E155+E156</f>
        <v>166277055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573662080</v>
      </c>
      <c r="D158" s="270">
        <f>+D131+D157</f>
        <v>640612604</v>
      </c>
      <c r="E158" s="252">
        <f>+E131+E157</f>
        <v>260191610</v>
      </c>
    </row>
    <row r="159" spans="1:5" ht="13.5" thickBot="1">
      <c r="A159" s="169"/>
      <c r="B159" s="170"/>
      <c r="C159" s="447">
        <f>C93-C158</f>
        <v>0</v>
      </c>
      <c r="D159" s="447">
        <f>D93-D158</f>
        <v>0</v>
      </c>
      <c r="E159" s="171"/>
    </row>
    <row r="160" spans="1:5" ht="15" customHeight="1" thickBot="1">
      <c r="A160" s="98" t="s">
        <v>507</v>
      </c>
      <c r="B160" s="99"/>
      <c r="C160" s="329">
        <v>1</v>
      </c>
      <c r="D160" s="329">
        <v>1</v>
      </c>
      <c r="E160" s="328">
        <v>1</v>
      </c>
    </row>
    <row r="161" spans="1:5" ht="14.25" customHeight="1" thickBot="1">
      <c r="A161" s="98" t="s">
        <v>508</v>
      </c>
      <c r="B161" s="99"/>
      <c r="C161" s="329">
        <v>0</v>
      </c>
      <c r="D161" s="329">
        <v>0</v>
      </c>
      <c r="E161" s="328">
        <v>0</v>
      </c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1"/>
  <sheetViews>
    <sheetView zoomScale="120" zoomScaleNormal="120" zoomScaleSheetLayoutView="100" workbookViewId="0" topLeftCell="A82">
      <selection activeCell="E96" sqref="E96:E158"/>
    </sheetView>
  </sheetViews>
  <sheetFormatPr defaultColWidth="9.37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04" t="str">
        <f>CONCATENATE("11. melléklet ",IB_ALAPADATOK!B7," ",IB_ALAPADATOK!C7," ",IB_ALAPADATOK!D7," ",IB_ALAPADATOK!E7)</f>
        <v>11. melléklet a 2022 I. félévi költségvetési tájékoztatóhoz</v>
      </c>
      <c r="C1" s="605"/>
      <c r="D1" s="605"/>
      <c r="E1" s="605"/>
    </row>
    <row r="2" spans="1:5" s="45" customFormat="1" ht="21" customHeight="1" thickBot="1">
      <c r="A2" s="401" t="s">
        <v>48</v>
      </c>
      <c r="B2" s="603" t="str">
        <f>CONCATENATE(IB_ALAPADATOK!B3)</f>
        <v>Balatonvilágos Község Önkormányzata</v>
      </c>
      <c r="C2" s="603"/>
      <c r="D2" s="603"/>
      <c r="E2" s="402" t="s">
        <v>42</v>
      </c>
    </row>
    <row r="3" spans="1:5" s="45" customFormat="1" ht="23.25" thickBot="1">
      <c r="A3" s="401" t="s">
        <v>141</v>
      </c>
      <c r="B3" s="603" t="s">
        <v>338</v>
      </c>
      <c r="C3" s="603"/>
      <c r="D3" s="60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'10.sz.mell.'!E4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0" t="s">
        <v>43</v>
      </c>
      <c r="B7" s="601"/>
      <c r="C7" s="601"/>
      <c r="D7" s="601"/>
      <c r="E7" s="602"/>
    </row>
    <row r="8" spans="1:5" s="41" customFormat="1" ht="12" customHeight="1" thickBot="1">
      <c r="A8" s="24" t="s">
        <v>9</v>
      </c>
      <c r="B8" s="19" t="s">
        <v>174</v>
      </c>
      <c r="C8" s="179">
        <f>+C9+C10+C11+C13+C14+C15+C12</f>
        <v>124238073</v>
      </c>
      <c r="D8" s="179">
        <f>+D9+D10+D11+D13+D14+D15+D12</f>
        <v>135925239</v>
      </c>
      <c r="E8" s="179">
        <f>+E9+E10+E11+E13+E14+E15+E12</f>
        <v>83303763</v>
      </c>
    </row>
    <row r="9" spans="1:5" s="47" customFormat="1" ht="12" customHeight="1">
      <c r="A9" s="209" t="s">
        <v>67</v>
      </c>
      <c r="B9" s="192" t="s">
        <v>175</v>
      </c>
      <c r="C9" s="500">
        <v>34249830</v>
      </c>
      <c r="D9" s="500">
        <v>34249830</v>
      </c>
      <c r="E9" s="117">
        <v>17809909</v>
      </c>
    </row>
    <row r="10" spans="1:5" s="48" customFormat="1" ht="12" customHeight="1">
      <c r="A10" s="210" t="s">
        <v>68</v>
      </c>
      <c r="B10" s="193" t="s">
        <v>176</v>
      </c>
      <c r="C10" s="461">
        <v>44591080</v>
      </c>
      <c r="D10" s="461">
        <v>44591080</v>
      </c>
      <c r="E10" s="116">
        <v>23187360</v>
      </c>
    </row>
    <row r="11" spans="1:5" s="48" customFormat="1" ht="12" customHeight="1">
      <c r="A11" s="210" t="s">
        <v>69</v>
      </c>
      <c r="B11" s="193" t="s">
        <v>177</v>
      </c>
      <c r="C11" s="461">
        <v>10296930</v>
      </c>
      <c r="D11" s="461">
        <v>10572096</v>
      </c>
      <c r="E11" s="116">
        <v>5774207</v>
      </c>
    </row>
    <row r="12" spans="1:5" s="48" customFormat="1" ht="12" customHeight="1">
      <c r="A12" s="210" t="s">
        <v>70</v>
      </c>
      <c r="B12" s="193" t="s">
        <v>578</v>
      </c>
      <c r="C12" s="461">
        <v>27935896</v>
      </c>
      <c r="D12" s="461">
        <v>27935896</v>
      </c>
      <c r="E12" s="116">
        <v>14526667</v>
      </c>
    </row>
    <row r="13" spans="1:5" s="48" customFormat="1" ht="12" customHeight="1">
      <c r="A13" s="210" t="s">
        <v>102</v>
      </c>
      <c r="B13" s="193" t="s">
        <v>178</v>
      </c>
      <c r="C13" s="461">
        <v>3248684</v>
      </c>
      <c r="D13" s="461">
        <v>3248684</v>
      </c>
      <c r="E13" s="116">
        <v>1689317</v>
      </c>
    </row>
    <row r="14" spans="1:5" s="48" customFormat="1" ht="12" customHeight="1">
      <c r="A14" s="210" t="s">
        <v>71</v>
      </c>
      <c r="B14" s="193" t="s">
        <v>412</v>
      </c>
      <c r="C14" s="461">
        <v>3915653</v>
      </c>
      <c r="D14" s="265">
        <v>15327653</v>
      </c>
      <c r="E14" s="116">
        <v>20078633</v>
      </c>
    </row>
    <row r="15" spans="1:5" s="47" customFormat="1" ht="12" customHeight="1" thickBot="1">
      <c r="A15" s="210" t="s">
        <v>72</v>
      </c>
      <c r="B15" s="499" t="s">
        <v>593</v>
      </c>
      <c r="C15" s="180"/>
      <c r="D15" s="265"/>
      <c r="E15" s="116">
        <v>237670</v>
      </c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19409000</v>
      </c>
      <c r="D16" s="263">
        <f>+D17+D18+D19+D20+D21</f>
        <v>23607725</v>
      </c>
      <c r="E16" s="115">
        <f>+E17+E18+E19+E20+E21</f>
        <v>14466725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461">
        <v>19409000</v>
      </c>
      <c r="D21" s="181">
        <v>23607725</v>
      </c>
      <c r="E21" s="116">
        <v>14466725</v>
      </c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0</v>
      </c>
      <c r="D23" s="263">
        <f>+D24+D25+D26+D27+D28</f>
        <v>22063364</v>
      </c>
      <c r="E23" s="115">
        <f>+E24+E25+E26+E27+E28</f>
        <v>22063364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/>
      <c r="D26" s="265"/>
      <c r="E26" s="116"/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>
        <v>22063364</v>
      </c>
      <c r="E28" s="116">
        <v>22063364</v>
      </c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SUM(C31:C39)</f>
        <v>181442270</v>
      </c>
      <c r="D30" s="185">
        <f>SUM(D31:D39)</f>
        <v>181442270</v>
      </c>
      <c r="E30" s="221">
        <f>SUM(E31:E39)</f>
        <v>134520011</v>
      </c>
    </row>
    <row r="31" spans="1:5" s="48" customFormat="1" ht="12" customHeight="1">
      <c r="A31" s="209" t="s">
        <v>189</v>
      </c>
      <c r="B31" s="192" t="s">
        <v>498</v>
      </c>
      <c r="C31" s="500">
        <v>127000000</v>
      </c>
      <c r="D31" s="500">
        <v>127000000</v>
      </c>
      <c r="E31" s="117">
        <v>85153768</v>
      </c>
    </row>
    <row r="32" spans="1:5" s="48" customFormat="1" ht="12" customHeight="1">
      <c r="A32" s="209" t="s">
        <v>190</v>
      </c>
      <c r="B32" s="193" t="s">
        <v>617</v>
      </c>
      <c r="C32" s="461">
        <v>150000</v>
      </c>
      <c r="D32" s="461">
        <v>150000</v>
      </c>
      <c r="E32" s="116">
        <v>96000</v>
      </c>
    </row>
    <row r="33" spans="1:5" s="48" customFormat="1" ht="12" customHeight="1">
      <c r="A33" s="210" t="s">
        <v>191</v>
      </c>
      <c r="B33" s="193" t="s">
        <v>579</v>
      </c>
      <c r="C33" s="461">
        <v>10000000</v>
      </c>
      <c r="D33" s="461">
        <v>10000000</v>
      </c>
      <c r="E33" s="116">
        <v>10224598</v>
      </c>
    </row>
    <row r="34" spans="1:5" s="48" customFormat="1" ht="12" customHeight="1">
      <c r="A34" s="210" t="s">
        <v>192</v>
      </c>
      <c r="B34" s="193" t="s">
        <v>500</v>
      </c>
      <c r="C34" s="461">
        <v>35000000</v>
      </c>
      <c r="D34" s="461">
        <v>35000000</v>
      </c>
      <c r="E34" s="116">
        <v>33705792</v>
      </c>
    </row>
    <row r="35" spans="1:5" s="48" customFormat="1" ht="12" customHeight="1">
      <c r="A35" s="210" t="s">
        <v>502</v>
      </c>
      <c r="B35" s="193" t="s">
        <v>618</v>
      </c>
      <c r="C35" s="461">
        <v>3442270</v>
      </c>
      <c r="D35" s="461">
        <v>3442270</v>
      </c>
      <c r="E35" s="116">
        <v>2402551</v>
      </c>
    </row>
    <row r="36" spans="1:5" s="48" customFormat="1" ht="12" customHeight="1">
      <c r="A36" s="210" t="s">
        <v>503</v>
      </c>
      <c r="B36" s="193" t="s">
        <v>619</v>
      </c>
      <c r="C36" s="461">
        <v>5000000</v>
      </c>
      <c r="D36" s="461">
        <v>5000000</v>
      </c>
      <c r="E36" s="116">
        <v>2443200</v>
      </c>
    </row>
    <row r="37" spans="1:5" s="48" customFormat="1" ht="12" customHeight="1">
      <c r="A37" s="210" t="s">
        <v>504</v>
      </c>
      <c r="B37" s="339" t="s">
        <v>501</v>
      </c>
      <c r="C37" s="463">
        <v>200000</v>
      </c>
      <c r="D37" s="463">
        <v>200000</v>
      </c>
      <c r="E37" s="118">
        <v>209100</v>
      </c>
    </row>
    <row r="38" spans="1:5" s="48" customFormat="1" ht="12" customHeight="1">
      <c r="A38" s="211" t="s">
        <v>582</v>
      </c>
      <c r="B38" s="509" t="s">
        <v>620</v>
      </c>
      <c r="C38" s="463">
        <v>650000</v>
      </c>
      <c r="D38" s="463">
        <v>650000</v>
      </c>
      <c r="E38" s="118">
        <v>285002</v>
      </c>
    </row>
    <row r="39" spans="1:5" s="48" customFormat="1" ht="12" customHeight="1" thickBot="1">
      <c r="A39" s="211" t="s">
        <v>584</v>
      </c>
      <c r="B39" s="339"/>
      <c r="C39" s="182"/>
      <c r="D39" s="182"/>
      <c r="E39" s="118"/>
    </row>
    <row r="40" spans="1:5" s="48" customFormat="1" ht="12" customHeight="1" thickBot="1">
      <c r="A40" s="24" t="s">
        <v>13</v>
      </c>
      <c r="B40" s="19" t="s">
        <v>351</v>
      </c>
      <c r="C40" s="179">
        <f>SUM(C41:C51)</f>
        <v>514828</v>
      </c>
      <c r="D40" s="263">
        <f>SUM(D41:D51)</f>
        <v>514828</v>
      </c>
      <c r="E40" s="115">
        <f>SUM(E41:E51)</f>
        <v>314538</v>
      </c>
    </row>
    <row r="41" spans="1:5" s="48" customFormat="1" ht="12" customHeight="1">
      <c r="A41" s="209" t="s">
        <v>60</v>
      </c>
      <c r="B41" s="192" t="s">
        <v>198</v>
      </c>
      <c r="C41" s="181"/>
      <c r="D41" s="264"/>
      <c r="E41" s="117"/>
    </row>
    <row r="42" spans="1:5" s="48" customFormat="1" ht="12" customHeight="1">
      <c r="A42" s="210" t="s">
        <v>61</v>
      </c>
      <c r="B42" s="193" t="s">
        <v>199</v>
      </c>
      <c r="C42" s="461"/>
      <c r="D42" s="461"/>
      <c r="E42" s="116"/>
    </row>
    <row r="43" spans="1:5" s="48" customFormat="1" ht="12" customHeight="1">
      <c r="A43" s="210" t="s">
        <v>62</v>
      </c>
      <c r="B43" s="193" t="s">
        <v>200</v>
      </c>
      <c r="C43" s="461">
        <v>446664</v>
      </c>
      <c r="D43" s="461">
        <v>446664</v>
      </c>
      <c r="E43" s="116">
        <v>190746</v>
      </c>
    </row>
    <row r="44" spans="1:5" s="48" customFormat="1" ht="12" customHeight="1">
      <c r="A44" s="210" t="s">
        <v>120</v>
      </c>
      <c r="B44" s="193" t="s">
        <v>201</v>
      </c>
      <c r="C44" s="461"/>
      <c r="D44" s="461"/>
      <c r="E44" s="116"/>
    </row>
    <row r="45" spans="1:5" s="48" customFormat="1" ht="12" customHeight="1">
      <c r="A45" s="210" t="s">
        <v>121</v>
      </c>
      <c r="B45" s="193" t="s">
        <v>202</v>
      </c>
      <c r="C45" s="461"/>
      <c r="D45" s="461"/>
      <c r="E45" s="116"/>
    </row>
    <row r="46" spans="1:5" s="48" customFormat="1" ht="12" customHeight="1">
      <c r="A46" s="210" t="s">
        <v>122</v>
      </c>
      <c r="B46" s="193" t="s">
        <v>203</v>
      </c>
      <c r="C46" s="461">
        <v>58164</v>
      </c>
      <c r="D46" s="461">
        <v>58164</v>
      </c>
      <c r="E46" s="116">
        <v>58164</v>
      </c>
    </row>
    <row r="47" spans="1:5" s="48" customFormat="1" ht="12" customHeight="1">
      <c r="A47" s="210" t="s">
        <v>123</v>
      </c>
      <c r="B47" s="193" t="s">
        <v>204</v>
      </c>
      <c r="C47" s="461"/>
      <c r="D47" s="461"/>
      <c r="E47" s="116"/>
    </row>
    <row r="48" spans="1:5" s="48" customFormat="1" ht="12" customHeight="1">
      <c r="A48" s="210" t="s">
        <v>124</v>
      </c>
      <c r="B48" s="193" t="s">
        <v>505</v>
      </c>
      <c r="C48" s="461">
        <v>10000</v>
      </c>
      <c r="D48" s="461">
        <v>10000</v>
      </c>
      <c r="E48" s="116">
        <v>139</v>
      </c>
    </row>
    <row r="49" spans="1:5" s="48" customFormat="1" ht="12" customHeight="1">
      <c r="A49" s="210" t="s">
        <v>196</v>
      </c>
      <c r="B49" s="193" t="s">
        <v>206</v>
      </c>
      <c r="C49" s="183"/>
      <c r="D49" s="324"/>
      <c r="E49" s="119">
        <v>2489</v>
      </c>
    </row>
    <row r="50" spans="1:5" s="48" customFormat="1" ht="12" customHeight="1">
      <c r="A50" s="211" t="s">
        <v>197</v>
      </c>
      <c r="B50" s="194" t="s">
        <v>353</v>
      </c>
      <c r="C50" s="184"/>
      <c r="D50" s="325"/>
      <c r="E50" s="120"/>
    </row>
    <row r="51" spans="1:5" s="48" customFormat="1" ht="12" customHeight="1" thickBot="1">
      <c r="A51" s="211" t="s">
        <v>352</v>
      </c>
      <c r="B51" s="194" t="s">
        <v>207</v>
      </c>
      <c r="C51" s="184"/>
      <c r="D51" s="325"/>
      <c r="E51" s="120">
        <v>63000</v>
      </c>
    </row>
    <row r="52" spans="1:5" s="48" customFormat="1" ht="12" customHeight="1" thickBot="1">
      <c r="A52" s="24" t="s">
        <v>14</v>
      </c>
      <c r="B52" s="19" t="s">
        <v>208</v>
      </c>
      <c r="C52" s="179">
        <f>SUM(C53:C57)</f>
        <v>0</v>
      </c>
      <c r="D52" s="263">
        <f>SUM(D53:D57)</f>
        <v>0</v>
      </c>
      <c r="E52" s="115">
        <f>SUM(E53:E57)</f>
        <v>0</v>
      </c>
    </row>
    <row r="53" spans="1:5" s="48" customFormat="1" ht="12" customHeight="1">
      <c r="A53" s="209" t="s">
        <v>63</v>
      </c>
      <c r="B53" s="192" t="s">
        <v>212</v>
      </c>
      <c r="C53" s="232"/>
      <c r="D53" s="326"/>
      <c r="E53" s="121"/>
    </row>
    <row r="54" spans="1:5" s="48" customFormat="1" ht="12" customHeight="1">
      <c r="A54" s="210" t="s">
        <v>64</v>
      </c>
      <c r="B54" s="193" t="s">
        <v>213</v>
      </c>
      <c r="C54" s="183"/>
      <c r="D54" s="324"/>
      <c r="E54" s="119"/>
    </row>
    <row r="55" spans="1:5" s="48" customFormat="1" ht="12" customHeight="1">
      <c r="A55" s="210" t="s">
        <v>209</v>
      </c>
      <c r="B55" s="193" t="s">
        <v>214</v>
      </c>
      <c r="C55" s="183"/>
      <c r="D55" s="324"/>
      <c r="E55" s="119"/>
    </row>
    <row r="56" spans="1:5" s="48" customFormat="1" ht="12" customHeight="1">
      <c r="A56" s="210" t="s">
        <v>210</v>
      </c>
      <c r="B56" s="193" t="s">
        <v>215</v>
      </c>
      <c r="C56" s="183"/>
      <c r="D56" s="324"/>
      <c r="E56" s="119"/>
    </row>
    <row r="57" spans="1:5" s="48" customFormat="1" ht="12" customHeight="1" thickBot="1">
      <c r="A57" s="211" t="s">
        <v>211</v>
      </c>
      <c r="B57" s="194" t="s">
        <v>216</v>
      </c>
      <c r="C57" s="184"/>
      <c r="D57" s="325"/>
      <c r="E57" s="120"/>
    </row>
    <row r="58" spans="1:5" s="48" customFormat="1" ht="12" customHeight="1" thickBot="1">
      <c r="A58" s="24" t="s">
        <v>125</v>
      </c>
      <c r="B58" s="19" t="s">
        <v>217</v>
      </c>
      <c r="C58" s="179">
        <f>SUM(C59:C61)</f>
        <v>0</v>
      </c>
      <c r="D58" s="263">
        <f>SUM(D59:D61)</f>
        <v>0</v>
      </c>
      <c r="E58" s="115">
        <f>SUM(E59:E61)</f>
        <v>0</v>
      </c>
    </row>
    <row r="59" spans="1:5" s="48" customFormat="1" ht="12" customHeight="1">
      <c r="A59" s="209" t="s">
        <v>65</v>
      </c>
      <c r="B59" s="192" t="s">
        <v>218</v>
      </c>
      <c r="C59" s="181"/>
      <c r="D59" s="264"/>
      <c r="E59" s="117"/>
    </row>
    <row r="60" spans="1:5" s="48" customFormat="1" ht="12" customHeight="1">
      <c r="A60" s="210" t="s">
        <v>66</v>
      </c>
      <c r="B60" s="193" t="s">
        <v>345</v>
      </c>
      <c r="C60" s="180"/>
      <c r="D60" s="265"/>
      <c r="E60" s="116"/>
    </row>
    <row r="61" spans="1:5" s="48" customFormat="1" ht="12" customHeight="1">
      <c r="A61" s="210" t="s">
        <v>221</v>
      </c>
      <c r="B61" s="193" t="s">
        <v>219</v>
      </c>
      <c r="C61" s="180"/>
      <c r="D61" s="265"/>
      <c r="E61" s="116"/>
    </row>
    <row r="62" spans="1:5" s="48" customFormat="1" ht="12" customHeight="1" thickBot="1">
      <c r="A62" s="211" t="s">
        <v>222</v>
      </c>
      <c r="B62" s="194" t="s">
        <v>220</v>
      </c>
      <c r="C62" s="182"/>
      <c r="D62" s="266"/>
      <c r="E62" s="118"/>
    </row>
    <row r="63" spans="1:5" s="48" customFormat="1" ht="12" customHeight="1" thickBot="1">
      <c r="A63" s="24" t="s">
        <v>16</v>
      </c>
      <c r="B63" s="122" t="s">
        <v>223</v>
      </c>
      <c r="C63" s="179">
        <f>SUM(C64:C66)</f>
        <v>0</v>
      </c>
      <c r="D63" s="263">
        <f>SUM(D64:D66)</f>
        <v>0</v>
      </c>
      <c r="E63" s="115">
        <f>SUM(E64:E66)</f>
        <v>0</v>
      </c>
    </row>
    <row r="64" spans="1:5" s="48" customFormat="1" ht="12" customHeight="1">
      <c r="A64" s="209" t="s">
        <v>126</v>
      </c>
      <c r="B64" s="192" t="s">
        <v>225</v>
      </c>
      <c r="C64" s="183"/>
      <c r="D64" s="324"/>
      <c r="E64" s="119"/>
    </row>
    <row r="65" spans="1:5" s="48" customFormat="1" ht="12" customHeight="1">
      <c r="A65" s="210" t="s">
        <v>127</v>
      </c>
      <c r="B65" s="193" t="s">
        <v>346</v>
      </c>
      <c r="C65" s="183"/>
      <c r="D65" s="183"/>
      <c r="E65" s="119"/>
    </row>
    <row r="66" spans="1:5" s="48" customFormat="1" ht="12" customHeight="1">
      <c r="A66" s="210" t="s">
        <v>157</v>
      </c>
      <c r="B66" s="193" t="s">
        <v>226</v>
      </c>
      <c r="C66" s="183"/>
      <c r="D66" s="324"/>
      <c r="E66" s="119"/>
    </row>
    <row r="67" spans="1:5" s="48" customFormat="1" ht="12" customHeight="1" thickBot="1">
      <c r="A67" s="211" t="s">
        <v>224</v>
      </c>
      <c r="B67" s="194" t="s">
        <v>227</v>
      </c>
      <c r="C67" s="183"/>
      <c r="D67" s="324"/>
      <c r="E67" s="119"/>
    </row>
    <row r="68" spans="1:5" s="48" customFormat="1" ht="12" customHeight="1" thickBot="1">
      <c r="A68" s="24" t="s">
        <v>17</v>
      </c>
      <c r="B68" s="19" t="s">
        <v>228</v>
      </c>
      <c r="C68" s="185">
        <f>+C8+C16+C23+C30+C40+C52+C58+C63</f>
        <v>325604171</v>
      </c>
      <c r="D68" s="267">
        <f>+D8+D16+D23+D30+D40+D52+D58+D63</f>
        <v>363553426</v>
      </c>
      <c r="E68" s="221">
        <f>+E8+E16+E23+E30+E40+E52+E58+E63</f>
        <v>254668401</v>
      </c>
    </row>
    <row r="69" spans="1:5" s="48" customFormat="1" ht="12" customHeight="1" thickBot="1">
      <c r="A69" s="212" t="s">
        <v>315</v>
      </c>
      <c r="B69" s="122" t="s">
        <v>230</v>
      </c>
      <c r="C69" s="179">
        <f>SUM(C70:C72)</f>
        <v>0</v>
      </c>
      <c r="D69" s="263">
        <f>SUM(D70:D72)</f>
        <v>0</v>
      </c>
      <c r="E69" s="115">
        <f>SUM(E70:E72)</f>
        <v>0</v>
      </c>
    </row>
    <row r="70" spans="1:5" s="48" customFormat="1" ht="12" customHeight="1">
      <c r="A70" s="209" t="s">
        <v>258</v>
      </c>
      <c r="B70" s="192" t="s">
        <v>231</v>
      </c>
      <c r="C70" s="183"/>
      <c r="D70" s="324"/>
      <c r="E70" s="119"/>
    </row>
    <row r="71" spans="1:5" s="48" customFormat="1" ht="12" customHeight="1">
      <c r="A71" s="210" t="s">
        <v>267</v>
      </c>
      <c r="B71" s="193" t="s">
        <v>232</v>
      </c>
      <c r="C71" s="183"/>
      <c r="D71" s="324"/>
      <c r="E71" s="119"/>
    </row>
    <row r="72" spans="1:5" s="48" customFormat="1" ht="12" customHeight="1" thickBot="1">
      <c r="A72" s="219" t="s">
        <v>268</v>
      </c>
      <c r="B72" s="389" t="s">
        <v>233</v>
      </c>
      <c r="C72" s="390"/>
      <c r="D72" s="327"/>
      <c r="E72" s="391"/>
    </row>
    <row r="73" spans="1:5" s="48" customFormat="1" ht="12" customHeight="1" thickBot="1">
      <c r="A73" s="212" t="s">
        <v>234</v>
      </c>
      <c r="B73" s="122" t="s">
        <v>235</v>
      </c>
      <c r="C73" s="179">
        <f>SUM(C74:C77)</f>
        <v>0</v>
      </c>
      <c r="D73" s="179">
        <f>SUM(D74:D77)</f>
        <v>0</v>
      </c>
      <c r="E73" s="115">
        <f>SUM(E74:E77)</f>
        <v>0</v>
      </c>
    </row>
    <row r="74" spans="1:5" s="48" customFormat="1" ht="12" customHeight="1">
      <c r="A74" s="209" t="s">
        <v>103</v>
      </c>
      <c r="B74" s="372" t="s">
        <v>236</v>
      </c>
      <c r="C74" s="183"/>
      <c r="D74" s="183"/>
      <c r="E74" s="119"/>
    </row>
    <row r="75" spans="1:5" s="48" customFormat="1" ht="12" customHeight="1">
      <c r="A75" s="210" t="s">
        <v>104</v>
      </c>
      <c r="B75" s="372" t="s">
        <v>512</v>
      </c>
      <c r="C75" s="183"/>
      <c r="D75" s="183"/>
      <c r="E75" s="119"/>
    </row>
    <row r="76" spans="1:5" s="48" customFormat="1" ht="12" customHeight="1">
      <c r="A76" s="210" t="s">
        <v>259</v>
      </c>
      <c r="B76" s="372" t="s">
        <v>237</v>
      </c>
      <c r="C76" s="183"/>
      <c r="D76" s="183"/>
      <c r="E76" s="119"/>
    </row>
    <row r="77" spans="1:5" s="48" customFormat="1" ht="12" customHeight="1" thickBot="1">
      <c r="A77" s="211" t="s">
        <v>260</v>
      </c>
      <c r="B77" s="373" t="s">
        <v>513</v>
      </c>
      <c r="C77" s="183"/>
      <c r="D77" s="183"/>
      <c r="E77" s="119"/>
    </row>
    <row r="78" spans="1:5" s="48" customFormat="1" ht="12" customHeight="1" thickBot="1">
      <c r="A78" s="212" t="s">
        <v>238</v>
      </c>
      <c r="B78" s="122" t="s">
        <v>239</v>
      </c>
      <c r="C78" s="179">
        <f>SUM(C79:C80)</f>
        <v>231000000</v>
      </c>
      <c r="D78" s="179">
        <f>SUM(D79:D80)</f>
        <v>257888464</v>
      </c>
      <c r="E78" s="115">
        <f>SUM(E79:E80)</f>
        <v>257888464</v>
      </c>
    </row>
    <row r="79" spans="1:5" s="48" customFormat="1" ht="12" customHeight="1">
      <c r="A79" s="209" t="s">
        <v>261</v>
      </c>
      <c r="B79" s="192" t="s">
        <v>240</v>
      </c>
      <c r="C79" s="512">
        <v>231000000</v>
      </c>
      <c r="D79" s="183">
        <v>257888464</v>
      </c>
      <c r="E79" s="119">
        <v>257888464</v>
      </c>
    </row>
    <row r="80" spans="1:5" s="48" customFormat="1" ht="12" customHeight="1" thickBot="1">
      <c r="A80" s="211" t="s">
        <v>262</v>
      </c>
      <c r="B80" s="194" t="s">
        <v>241</v>
      </c>
      <c r="C80" s="183"/>
      <c r="D80" s="183"/>
      <c r="E80" s="119"/>
    </row>
    <row r="81" spans="1:5" s="47" customFormat="1" ht="12" customHeight="1" thickBot="1">
      <c r="A81" s="212" t="s">
        <v>242</v>
      </c>
      <c r="B81" s="122" t="s">
        <v>243</v>
      </c>
      <c r="C81" s="179">
        <f>SUM(C82:C84)</f>
        <v>0</v>
      </c>
      <c r="D81" s="179">
        <f>SUM(D82:D84)</f>
        <v>2112805</v>
      </c>
      <c r="E81" s="115">
        <f>SUM(E82:E84)</f>
        <v>2112805</v>
      </c>
    </row>
    <row r="82" spans="1:5" s="48" customFormat="1" ht="12" customHeight="1">
      <c r="A82" s="209" t="s">
        <v>263</v>
      </c>
      <c r="B82" s="192" t="s">
        <v>244</v>
      </c>
      <c r="C82" s="183"/>
      <c r="D82" s="183">
        <v>2112805</v>
      </c>
      <c r="E82" s="119">
        <v>2112805</v>
      </c>
    </row>
    <row r="83" spans="1:5" s="48" customFormat="1" ht="12" customHeight="1">
      <c r="A83" s="210" t="s">
        <v>264</v>
      </c>
      <c r="B83" s="193" t="s">
        <v>245</v>
      </c>
      <c r="C83" s="183"/>
      <c r="D83" s="183"/>
      <c r="E83" s="119"/>
    </row>
    <row r="84" spans="1:5" s="48" customFormat="1" ht="12" customHeight="1" thickBot="1">
      <c r="A84" s="211" t="s">
        <v>265</v>
      </c>
      <c r="B84" s="194" t="s">
        <v>514</v>
      </c>
      <c r="C84" s="183"/>
      <c r="D84" s="183"/>
      <c r="E84" s="119"/>
    </row>
    <row r="85" spans="1:5" s="48" customFormat="1" ht="12" customHeight="1" thickBot="1">
      <c r="A85" s="212" t="s">
        <v>246</v>
      </c>
      <c r="B85" s="122" t="s">
        <v>266</v>
      </c>
      <c r="C85" s="179">
        <f>SUM(C86:C89)</f>
        <v>0</v>
      </c>
      <c r="D85" s="179">
        <f>SUM(D86:D89)</f>
        <v>0</v>
      </c>
      <c r="E85" s="115">
        <f>SUM(E86:E89)</f>
        <v>0</v>
      </c>
    </row>
    <row r="86" spans="1:5" s="48" customFormat="1" ht="12" customHeight="1">
      <c r="A86" s="213" t="s">
        <v>247</v>
      </c>
      <c r="B86" s="192" t="s">
        <v>248</v>
      </c>
      <c r="C86" s="183"/>
      <c r="D86" s="183"/>
      <c r="E86" s="119"/>
    </row>
    <row r="87" spans="1:5" s="48" customFormat="1" ht="12" customHeight="1">
      <c r="A87" s="214" t="s">
        <v>249</v>
      </c>
      <c r="B87" s="193" t="s">
        <v>250</v>
      </c>
      <c r="C87" s="183"/>
      <c r="D87" s="183"/>
      <c r="E87" s="119"/>
    </row>
    <row r="88" spans="1:5" s="48" customFormat="1" ht="12" customHeight="1">
      <c r="A88" s="214" t="s">
        <v>251</v>
      </c>
      <c r="B88" s="193" t="s">
        <v>252</v>
      </c>
      <c r="C88" s="183"/>
      <c r="D88" s="183"/>
      <c r="E88" s="119"/>
    </row>
    <row r="89" spans="1:5" s="47" customFormat="1" ht="12" customHeight="1" thickBot="1">
      <c r="A89" s="215" t="s">
        <v>253</v>
      </c>
      <c r="B89" s="194" t="s">
        <v>254</v>
      </c>
      <c r="C89" s="183"/>
      <c r="D89" s="183"/>
      <c r="E89" s="119"/>
    </row>
    <row r="90" spans="1:5" s="47" customFormat="1" ht="12" customHeight="1" thickBot="1">
      <c r="A90" s="212" t="s">
        <v>255</v>
      </c>
      <c r="B90" s="122" t="s">
        <v>392</v>
      </c>
      <c r="C90" s="235"/>
      <c r="D90" s="235"/>
      <c r="E90" s="236"/>
    </row>
    <row r="91" spans="1:5" s="47" customFormat="1" ht="12" customHeight="1" thickBot="1">
      <c r="A91" s="212" t="s">
        <v>413</v>
      </c>
      <c r="B91" s="122" t="s">
        <v>256</v>
      </c>
      <c r="C91" s="235"/>
      <c r="D91" s="235"/>
      <c r="E91" s="236"/>
    </row>
    <row r="92" spans="1:5" s="47" customFormat="1" ht="12" customHeight="1" thickBot="1">
      <c r="A92" s="212" t="s">
        <v>414</v>
      </c>
      <c r="B92" s="199" t="s">
        <v>395</v>
      </c>
      <c r="C92" s="185">
        <f>+C69+C73+C78+C81+C85+C91+C90</f>
        <v>231000000</v>
      </c>
      <c r="D92" s="185">
        <f>+D69+D73+D78+D81+D85+D91+D90</f>
        <v>260001269</v>
      </c>
      <c r="E92" s="221">
        <f>+E69+E73+E78+E81+E85+E91+E90</f>
        <v>260001269</v>
      </c>
    </row>
    <row r="93" spans="1:5" s="47" customFormat="1" ht="12" customHeight="1" thickBot="1">
      <c r="A93" s="216" t="s">
        <v>415</v>
      </c>
      <c r="B93" s="200" t="s">
        <v>416</v>
      </c>
      <c r="C93" s="185">
        <f>+C68+C92</f>
        <v>556604171</v>
      </c>
      <c r="D93" s="185">
        <f>+D68+D92</f>
        <v>623554695</v>
      </c>
      <c r="E93" s="221">
        <f>+E68+E92</f>
        <v>514669670</v>
      </c>
    </row>
    <row r="94" spans="1:3" s="48" customFormat="1" ht="15" customHeight="1" thickBot="1">
      <c r="A94" s="91"/>
      <c r="B94" s="92"/>
      <c r="C94" s="161"/>
    </row>
    <row r="95" spans="1:5" s="41" customFormat="1" ht="16.5" customHeight="1" thickBot="1">
      <c r="A95" s="600" t="s">
        <v>44</v>
      </c>
      <c r="B95" s="601"/>
      <c r="C95" s="601"/>
      <c r="D95" s="601"/>
      <c r="E95" s="602"/>
    </row>
    <row r="96" spans="1:5" s="49" customFormat="1" ht="12" customHeight="1" thickBot="1">
      <c r="A96" s="186" t="s">
        <v>9</v>
      </c>
      <c r="B96" s="23" t="s">
        <v>420</v>
      </c>
      <c r="C96" s="178">
        <f>+C97+C98+C99+C100+C101+C114</f>
        <v>156613369</v>
      </c>
      <c r="D96" s="178">
        <f>+D97+D98+D99+D100+D101+D114</f>
        <v>177906624</v>
      </c>
      <c r="E96" s="246">
        <f>+E97+E98+E99+E100+E101+E114</f>
        <v>69268206</v>
      </c>
    </row>
    <row r="97" spans="1:5" ht="12" customHeight="1">
      <c r="A97" s="217" t="s">
        <v>67</v>
      </c>
      <c r="B97" s="8" t="s">
        <v>38</v>
      </c>
      <c r="C97" s="462">
        <v>26018790</v>
      </c>
      <c r="D97" s="253">
        <v>25996330</v>
      </c>
      <c r="E97" s="247">
        <v>8263253</v>
      </c>
    </row>
    <row r="98" spans="1:5" ht="12" customHeight="1">
      <c r="A98" s="210" t="s">
        <v>68</v>
      </c>
      <c r="B98" s="6" t="s">
        <v>128</v>
      </c>
      <c r="C98" s="461">
        <v>2702452</v>
      </c>
      <c r="D98" s="180">
        <v>2699319</v>
      </c>
      <c r="E98" s="116">
        <v>1283799</v>
      </c>
    </row>
    <row r="99" spans="1:5" ht="12" customHeight="1">
      <c r="A99" s="210" t="s">
        <v>69</v>
      </c>
      <c r="B99" s="6" t="s">
        <v>95</v>
      </c>
      <c r="C99" s="463">
        <v>50165160</v>
      </c>
      <c r="D99" s="180">
        <v>50481753</v>
      </c>
      <c r="E99" s="118">
        <v>17765678</v>
      </c>
    </row>
    <row r="100" spans="1:5" ht="12" customHeight="1">
      <c r="A100" s="210" t="s">
        <v>70</v>
      </c>
      <c r="B100" s="9" t="s">
        <v>129</v>
      </c>
      <c r="C100" s="463">
        <v>5840000</v>
      </c>
      <c r="D100" s="266">
        <v>5840000</v>
      </c>
      <c r="E100" s="118">
        <v>1394000</v>
      </c>
    </row>
    <row r="101" spans="1:5" ht="12" customHeight="1">
      <c r="A101" s="210" t="s">
        <v>79</v>
      </c>
      <c r="B101" s="17" t="s">
        <v>130</v>
      </c>
      <c r="C101" s="463">
        <v>55605179</v>
      </c>
      <c r="D101" s="266">
        <v>66557430</v>
      </c>
      <c r="E101" s="118">
        <v>40561476</v>
      </c>
    </row>
    <row r="102" spans="1:5" ht="12" customHeight="1">
      <c r="A102" s="210" t="s">
        <v>71</v>
      </c>
      <c r="B102" s="6" t="s">
        <v>417</v>
      </c>
      <c r="C102" s="463">
        <v>696579</v>
      </c>
      <c r="D102" s="266"/>
      <c r="E102" s="118">
        <v>36830</v>
      </c>
    </row>
    <row r="103" spans="1:5" ht="12" customHeight="1">
      <c r="A103" s="210" t="s">
        <v>72</v>
      </c>
      <c r="B103" s="59" t="s">
        <v>358</v>
      </c>
      <c r="C103" s="463">
        <v>2961554</v>
      </c>
      <c r="D103" s="266">
        <v>2961554</v>
      </c>
      <c r="E103" s="118">
        <v>1540006</v>
      </c>
    </row>
    <row r="104" spans="1:5" ht="12" customHeight="1">
      <c r="A104" s="210" t="s">
        <v>80</v>
      </c>
      <c r="B104" s="59" t="s">
        <v>357</v>
      </c>
      <c r="C104" s="463"/>
      <c r="D104" s="266"/>
      <c r="E104" s="118"/>
    </row>
    <row r="105" spans="1:5" ht="12" customHeight="1">
      <c r="A105" s="210" t="s">
        <v>81</v>
      </c>
      <c r="B105" s="59" t="s">
        <v>272</v>
      </c>
      <c r="C105" s="463"/>
      <c r="D105" s="266"/>
      <c r="E105" s="118"/>
    </row>
    <row r="106" spans="1:5" ht="12" customHeight="1">
      <c r="A106" s="210" t="s">
        <v>82</v>
      </c>
      <c r="B106" s="60" t="s">
        <v>273</v>
      </c>
      <c r="C106" s="463"/>
      <c r="D106" s="266">
        <v>36830</v>
      </c>
      <c r="E106" s="118"/>
    </row>
    <row r="107" spans="1:5" ht="12" customHeight="1">
      <c r="A107" s="210" t="s">
        <v>83</v>
      </c>
      <c r="B107" s="60" t="s">
        <v>274</v>
      </c>
      <c r="C107" s="463"/>
      <c r="D107" s="266"/>
      <c r="E107" s="118"/>
    </row>
    <row r="108" spans="1:5" ht="12" customHeight="1">
      <c r="A108" s="210" t="s">
        <v>85</v>
      </c>
      <c r="B108" s="59" t="s">
        <v>275</v>
      </c>
      <c r="C108" s="463">
        <v>51405046</v>
      </c>
      <c r="D108" s="266">
        <v>51675046</v>
      </c>
      <c r="E108" s="118">
        <v>26779077</v>
      </c>
    </row>
    <row r="109" spans="1:5" ht="12" customHeight="1">
      <c r="A109" s="210" t="s">
        <v>131</v>
      </c>
      <c r="B109" s="59" t="s">
        <v>276</v>
      </c>
      <c r="C109" s="463"/>
      <c r="D109" s="266"/>
      <c r="E109" s="118"/>
    </row>
    <row r="110" spans="1:5" ht="12" customHeight="1">
      <c r="A110" s="210" t="s">
        <v>270</v>
      </c>
      <c r="B110" s="60" t="s">
        <v>277</v>
      </c>
      <c r="C110" s="463"/>
      <c r="D110" s="266"/>
      <c r="E110" s="118"/>
    </row>
    <row r="111" spans="1:5" ht="12" customHeight="1">
      <c r="A111" s="218" t="s">
        <v>271</v>
      </c>
      <c r="B111" s="61" t="s">
        <v>278</v>
      </c>
      <c r="C111" s="463"/>
      <c r="D111" s="266"/>
      <c r="E111" s="118"/>
    </row>
    <row r="112" spans="1:5" ht="12" customHeight="1">
      <c r="A112" s="210" t="s">
        <v>355</v>
      </c>
      <c r="B112" s="61" t="s">
        <v>279</v>
      </c>
      <c r="C112" s="463"/>
      <c r="D112" s="266"/>
      <c r="E112" s="118"/>
    </row>
    <row r="113" spans="1:5" ht="12" customHeight="1">
      <c r="A113" s="210" t="s">
        <v>356</v>
      </c>
      <c r="B113" s="60" t="s">
        <v>280</v>
      </c>
      <c r="C113" s="461">
        <v>542000</v>
      </c>
      <c r="D113" s="265">
        <v>11884000</v>
      </c>
      <c r="E113" s="116">
        <v>12205563</v>
      </c>
    </row>
    <row r="114" spans="1:5" ht="12" customHeight="1">
      <c r="A114" s="210" t="s">
        <v>360</v>
      </c>
      <c r="B114" s="9" t="s">
        <v>39</v>
      </c>
      <c r="C114" s="461">
        <v>16281788</v>
      </c>
      <c r="D114" s="265">
        <v>26331792</v>
      </c>
      <c r="E114" s="116"/>
    </row>
    <row r="115" spans="1:5" ht="12" customHeight="1">
      <c r="A115" s="211" t="s">
        <v>361</v>
      </c>
      <c r="B115" s="6" t="s">
        <v>418</v>
      </c>
      <c r="C115" s="463">
        <v>8330929</v>
      </c>
      <c r="D115" s="266">
        <v>18380933</v>
      </c>
      <c r="E115" s="118"/>
    </row>
    <row r="116" spans="1:5" ht="12" customHeight="1" thickBot="1">
      <c r="A116" s="219" t="s">
        <v>362</v>
      </c>
      <c r="B116" s="62" t="s">
        <v>419</v>
      </c>
      <c r="C116" s="501">
        <v>7950859</v>
      </c>
      <c r="D116" s="330">
        <v>7950859</v>
      </c>
      <c r="E116" s="248"/>
    </row>
    <row r="117" spans="1:5" ht="12" customHeight="1" thickBot="1">
      <c r="A117" s="24" t="s">
        <v>10</v>
      </c>
      <c r="B117" s="22" t="s">
        <v>281</v>
      </c>
      <c r="C117" s="179">
        <f>+C118+C120+C122</f>
        <v>42004143</v>
      </c>
      <c r="D117" s="263">
        <f>+D118+D120+D122</f>
        <v>84208587</v>
      </c>
      <c r="E117" s="115">
        <f>+E118+E120+E122</f>
        <v>24166349</v>
      </c>
    </row>
    <row r="118" spans="1:5" ht="12" customHeight="1">
      <c r="A118" s="209" t="s">
        <v>73</v>
      </c>
      <c r="B118" s="6" t="s">
        <v>156</v>
      </c>
      <c r="C118" s="500">
        <v>42004143</v>
      </c>
      <c r="D118" s="264">
        <v>80175744</v>
      </c>
      <c r="E118" s="117">
        <v>19633506</v>
      </c>
    </row>
    <row r="119" spans="1:5" ht="12" customHeight="1">
      <c r="A119" s="209" t="s">
        <v>74</v>
      </c>
      <c r="B119" s="10" t="s">
        <v>285</v>
      </c>
      <c r="C119" s="500"/>
      <c r="D119" s="264"/>
      <c r="E119" s="117"/>
    </row>
    <row r="120" spans="1:5" ht="12" customHeight="1">
      <c r="A120" s="209" t="s">
        <v>75</v>
      </c>
      <c r="B120" s="10" t="s">
        <v>132</v>
      </c>
      <c r="C120" s="180"/>
      <c r="D120" s="265"/>
      <c r="E120" s="116"/>
    </row>
    <row r="121" spans="1:5" ht="12" customHeight="1">
      <c r="A121" s="209" t="s">
        <v>76</v>
      </c>
      <c r="B121" s="10" t="s">
        <v>286</v>
      </c>
      <c r="C121" s="180"/>
      <c r="D121" s="265"/>
      <c r="E121" s="116"/>
    </row>
    <row r="122" spans="1:5" ht="12" customHeight="1">
      <c r="A122" s="209" t="s">
        <v>77</v>
      </c>
      <c r="B122" s="124" t="s">
        <v>158</v>
      </c>
      <c r="C122" s="180"/>
      <c r="D122" s="265">
        <v>4032843</v>
      </c>
      <c r="E122" s="116">
        <v>4532843</v>
      </c>
    </row>
    <row r="123" spans="1:5" ht="12" customHeight="1">
      <c r="A123" s="209" t="s">
        <v>84</v>
      </c>
      <c r="B123" s="123" t="s">
        <v>347</v>
      </c>
      <c r="C123" s="180"/>
      <c r="D123" s="265"/>
      <c r="E123" s="116"/>
    </row>
    <row r="124" spans="1:5" ht="12" customHeight="1">
      <c r="A124" s="209" t="s">
        <v>86</v>
      </c>
      <c r="B124" s="188" t="s">
        <v>291</v>
      </c>
      <c r="C124" s="180"/>
      <c r="D124" s="265"/>
      <c r="E124" s="116"/>
    </row>
    <row r="125" spans="1:5" ht="12" customHeight="1">
      <c r="A125" s="209" t="s">
        <v>133</v>
      </c>
      <c r="B125" s="60" t="s">
        <v>274</v>
      </c>
      <c r="C125" s="180"/>
      <c r="D125" s="265"/>
      <c r="E125" s="116"/>
    </row>
    <row r="126" spans="1:5" ht="12" customHeight="1">
      <c r="A126" s="209" t="s">
        <v>134</v>
      </c>
      <c r="B126" s="60" t="s">
        <v>290</v>
      </c>
      <c r="C126" s="180"/>
      <c r="D126" s="265">
        <v>1028112</v>
      </c>
      <c r="E126" s="116">
        <v>1028112</v>
      </c>
    </row>
    <row r="127" spans="1:5" ht="12" customHeight="1">
      <c r="A127" s="209" t="s">
        <v>135</v>
      </c>
      <c r="B127" s="60" t="s">
        <v>289</v>
      </c>
      <c r="C127" s="180"/>
      <c r="D127" s="265"/>
      <c r="E127" s="116"/>
    </row>
    <row r="128" spans="1:5" ht="12" customHeight="1">
      <c r="A128" s="209" t="s">
        <v>282</v>
      </c>
      <c r="B128" s="60" t="s">
        <v>277</v>
      </c>
      <c r="C128" s="180"/>
      <c r="D128" s="265"/>
      <c r="E128" s="116"/>
    </row>
    <row r="129" spans="1:5" ht="12" customHeight="1">
      <c r="A129" s="209" t="s">
        <v>283</v>
      </c>
      <c r="B129" s="60" t="s">
        <v>288</v>
      </c>
      <c r="C129" s="180"/>
      <c r="D129" s="265"/>
      <c r="E129" s="116"/>
    </row>
    <row r="130" spans="1:5" ht="12" customHeight="1" thickBot="1">
      <c r="A130" s="218" t="s">
        <v>284</v>
      </c>
      <c r="B130" s="60" t="s">
        <v>287</v>
      </c>
      <c r="C130" s="182"/>
      <c r="D130" s="266">
        <v>3004731</v>
      </c>
      <c r="E130" s="118">
        <v>3004731</v>
      </c>
    </row>
    <row r="131" spans="1:5" ht="12" customHeight="1" thickBot="1">
      <c r="A131" s="24" t="s">
        <v>11</v>
      </c>
      <c r="B131" s="53" t="s">
        <v>365</v>
      </c>
      <c r="C131" s="179">
        <f>+C96+C117</f>
        <v>198617512</v>
      </c>
      <c r="D131" s="263">
        <f>+D96+D117</f>
        <v>262115211</v>
      </c>
      <c r="E131" s="115">
        <f>+E96+E117</f>
        <v>93434555</v>
      </c>
    </row>
    <row r="132" spans="1:5" ht="12" customHeight="1" thickBot="1">
      <c r="A132" s="24" t="s">
        <v>12</v>
      </c>
      <c r="B132" s="53" t="s">
        <v>366</v>
      </c>
      <c r="C132" s="179">
        <f>+C133+C134+C135</f>
        <v>0</v>
      </c>
      <c r="D132" s="263">
        <f>+D133+D134+D135</f>
        <v>0</v>
      </c>
      <c r="E132" s="115">
        <f>+E133+E134+E135</f>
        <v>0</v>
      </c>
    </row>
    <row r="133" spans="1:5" s="49" customFormat="1" ht="12" customHeight="1">
      <c r="A133" s="209" t="s">
        <v>189</v>
      </c>
      <c r="B133" s="7" t="s">
        <v>423</v>
      </c>
      <c r="C133" s="180"/>
      <c r="D133" s="265"/>
      <c r="E133" s="116"/>
    </row>
    <row r="134" spans="1:5" ht="12" customHeight="1">
      <c r="A134" s="209" t="s">
        <v>190</v>
      </c>
      <c r="B134" s="7" t="s">
        <v>374</v>
      </c>
      <c r="C134" s="180"/>
      <c r="D134" s="265"/>
      <c r="E134" s="116"/>
    </row>
    <row r="135" spans="1:5" ht="12" customHeight="1" thickBot="1">
      <c r="A135" s="218" t="s">
        <v>191</v>
      </c>
      <c r="B135" s="5" t="s">
        <v>422</v>
      </c>
      <c r="C135" s="180"/>
      <c r="D135" s="265"/>
      <c r="E135" s="116"/>
    </row>
    <row r="136" spans="1:5" ht="12" customHeight="1" thickBot="1">
      <c r="A136" s="24" t="s">
        <v>13</v>
      </c>
      <c r="B136" s="53" t="s">
        <v>367</v>
      </c>
      <c r="C136" s="179">
        <f>+C137+C138+C139+C140+C141+C142</f>
        <v>0</v>
      </c>
      <c r="D136" s="263">
        <f>+D137+D138+D139+D140+D141+D142</f>
        <v>0</v>
      </c>
      <c r="E136" s="115">
        <f>+E137+E138+E139+E140+E141+E142</f>
        <v>0</v>
      </c>
    </row>
    <row r="137" spans="1:5" ht="12" customHeight="1">
      <c r="A137" s="209" t="s">
        <v>60</v>
      </c>
      <c r="B137" s="7" t="s">
        <v>376</v>
      </c>
      <c r="C137" s="180"/>
      <c r="D137" s="265"/>
      <c r="E137" s="116"/>
    </row>
    <row r="138" spans="1:5" ht="12" customHeight="1">
      <c r="A138" s="209" t="s">
        <v>61</v>
      </c>
      <c r="B138" s="7" t="s">
        <v>368</v>
      </c>
      <c r="C138" s="180"/>
      <c r="D138" s="265"/>
      <c r="E138" s="116"/>
    </row>
    <row r="139" spans="1:5" ht="12" customHeight="1">
      <c r="A139" s="209" t="s">
        <v>62</v>
      </c>
      <c r="B139" s="7" t="s">
        <v>369</v>
      </c>
      <c r="C139" s="180"/>
      <c r="D139" s="265"/>
      <c r="E139" s="116"/>
    </row>
    <row r="140" spans="1:5" ht="12" customHeight="1">
      <c r="A140" s="209" t="s">
        <v>120</v>
      </c>
      <c r="B140" s="7" t="s">
        <v>421</v>
      </c>
      <c r="C140" s="180"/>
      <c r="D140" s="265"/>
      <c r="E140" s="116"/>
    </row>
    <row r="141" spans="1:5" ht="12" customHeight="1">
      <c r="A141" s="209" t="s">
        <v>121</v>
      </c>
      <c r="B141" s="7" t="s">
        <v>371</v>
      </c>
      <c r="C141" s="180"/>
      <c r="D141" s="265"/>
      <c r="E141" s="116"/>
    </row>
    <row r="142" spans="1:5" s="49" customFormat="1" ht="12" customHeight="1" thickBot="1">
      <c r="A142" s="218" t="s">
        <v>122</v>
      </c>
      <c r="B142" s="5" t="s">
        <v>372</v>
      </c>
      <c r="C142" s="180"/>
      <c r="D142" s="265"/>
      <c r="E142" s="116"/>
    </row>
    <row r="143" spans="1:5" ht="12" customHeight="1" thickBot="1">
      <c r="A143" s="24" t="s">
        <v>14</v>
      </c>
      <c r="B143" s="53" t="s">
        <v>436</v>
      </c>
      <c r="C143" s="185">
        <f>+C144+C145+C147+C148+C146</f>
        <v>370805843</v>
      </c>
      <c r="D143" s="267">
        <f>+D144+D145+D147+D148+D146</f>
        <v>374378668</v>
      </c>
      <c r="E143" s="221">
        <f>+E144+E145+E147+E148+E146</f>
        <v>166277055</v>
      </c>
    </row>
    <row r="144" spans="1:5" ht="12.75">
      <c r="A144" s="209" t="s">
        <v>63</v>
      </c>
      <c r="B144" s="7" t="s">
        <v>292</v>
      </c>
      <c r="C144" s="180"/>
      <c r="D144" s="265"/>
      <c r="E144" s="116"/>
    </row>
    <row r="145" spans="1:5" ht="12" customHeight="1">
      <c r="A145" s="209" t="s">
        <v>64</v>
      </c>
      <c r="B145" s="7" t="s">
        <v>293</v>
      </c>
      <c r="C145" s="116">
        <v>4440354</v>
      </c>
      <c r="D145" s="265">
        <v>6553159</v>
      </c>
      <c r="E145" s="116">
        <v>6553159</v>
      </c>
    </row>
    <row r="146" spans="1:5" ht="12" customHeight="1">
      <c r="A146" s="209" t="s">
        <v>209</v>
      </c>
      <c r="B146" s="7" t="s">
        <v>435</v>
      </c>
      <c r="C146" s="116">
        <v>366365489</v>
      </c>
      <c r="D146" s="265">
        <v>367825509</v>
      </c>
      <c r="E146" s="116">
        <v>159723896</v>
      </c>
    </row>
    <row r="147" spans="1:5" s="49" customFormat="1" ht="12" customHeight="1">
      <c r="A147" s="209" t="s">
        <v>210</v>
      </c>
      <c r="B147" s="7" t="s">
        <v>381</v>
      </c>
      <c r="C147" s="180"/>
      <c r="D147" s="265"/>
      <c r="E147" s="116"/>
    </row>
    <row r="148" spans="1:5" s="49" customFormat="1" ht="12" customHeight="1" thickBot="1">
      <c r="A148" s="218" t="s">
        <v>211</v>
      </c>
      <c r="B148" s="5" t="s">
        <v>311</v>
      </c>
      <c r="C148" s="180"/>
      <c r="D148" s="265"/>
      <c r="E148" s="116"/>
    </row>
    <row r="149" spans="1:5" s="49" customFormat="1" ht="12" customHeight="1" thickBot="1">
      <c r="A149" s="24" t="s">
        <v>15</v>
      </c>
      <c r="B149" s="53" t="s">
        <v>382</v>
      </c>
      <c r="C149" s="256">
        <f>+C150+C151+C152+C153+C154</f>
        <v>0</v>
      </c>
      <c r="D149" s="268">
        <f>+D150+D151+D152+D153+D154</f>
        <v>0</v>
      </c>
      <c r="E149" s="250">
        <f>+E150+E151+E152+E153+E154</f>
        <v>0</v>
      </c>
    </row>
    <row r="150" spans="1:5" s="49" customFormat="1" ht="12" customHeight="1">
      <c r="A150" s="209" t="s">
        <v>65</v>
      </c>
      <c r="B150" s="7" t="s">
        <v>377</v>
      </c>
      <c r="C150" s="180"/>
      <c r="D150" s="265"/>
      <c r="E150" s="116"/>
    </row>
    <row r="151" spans="1:5" s="49" customFormat="1" ht="12" customHeight="1">
      <c r="A151" s="209" t="s">
        <v>66</v>
      </c>
      <c r="B151" s="7" t="s">
        <v>384</v>
      </c>
      <c r="C151" s="180"/>
      <c r="D151" s="265"/>
      <c r="E151" s="116"/>
    </row>
    <row r="152" spans="1:5" s="49" customFormat="1" ht="12" customHeight="1">
      <c r="A152" s="209" t="s">
        <v>221</v>
      </c>
      <c r="B152" s="7" t="s">
        <v>379</v>
      </c>
      <c r="C152" s="180"/>
      <c r="D152" s="265"/>
      <c r="E152" s="116"/>
    </row>
    <row r="153" spans="1:5" s="49" customFormat="1" ht="12" customHeight="1">
      <c r="A153" s="209" t="s">
        <v>222</v>
      </c>
      <c r="B153" s="7" t="s">
        <v>424</v>
      </c>
      <c r="C153" s="180"/>
      <c r="D153" s="265"/>
      <c r="E153" s="116"/>
    </row>
    <row r="154" spans="1:5" ht="12.75" customHeight="1" thickBot="1">
      <c r="A154" s="218" t="s">
        <v>383</v>
      </c>
      <c r="B154" s="5" t="s">
        <v>386</v>
      </c>
      <c r="C154" s="182"/>
      <c r="D154" s="266"/>
      <c r="E154" s="118"/>
    </row>
    <row r="155" spans="1:5" ht="12.75" customHeight="1" thickBot="1">
      <c r="A155" s="245" t="s">
        <v>16</v>
      </c>
      <c r="B155" s="53" t="s">
        <v>387</v>
      </c>
      <c r="C155" s="256"/>
      <c r="D155" s="268"/>
      <c r="E155" s="250"/>
    </row>
    <row r="156" spans="1:5" ht="12.75" customHeight="1" thickBot="1">
      <c r="A156" s="245" t="s">
        <v>17</v>
      </c>
      <c r="B156" s="53" t="s">
        <v>388</v>
      </c>
      <c r="C156" s="256"/>
      <c r="D156" s="268"/>
      <c r="E156" s="250"/>
    </row>
    <row r="157" spans="1:5" ht="12" customHeight="1" thickBot="1">
      <c r="A157" s="24" t="s">
        <v>18</v>
      </c>
      <c r="B157" s="53" t="s">
        <v>390</v>
      </c>
      <c r="C157" s="258">
        <f>+C132+C136+C143+C149+C155+C156</f>
        <v>370805843</v>
      </c>
      <c r="D157" s="270">
        <f>+D132+D136+D143+D149+D155+D156</f>
        <v>374378668</v>
      </c>
      <c r="E157" s="252">
        <f>+E132+E136+E143+E149+E155+E156</f>
        <v>166277055</v>
      </c>
    </row>
    <row r="158" spans="1:5" ht="15" customHeight="1" thickBot="1">
      <c r="A158" s="220" t="s">
        <v>19</v>
      </c>
      <c r="B158" s="166" t="s">
        <v>389</v>
      </c>
      <c r="C158" s="258">
        <f>+C131+C157</f>
        <v>569423355</v>
      </c>
      <c r="D158" s="270">
        <f>+D131+D157</f>
        <v>636493879</v>
      </c>
      <c r="E158" s="252">
        <f>+E131+E157</f>
        <v>259711610</v>
      </c>
    </row>
    <row r="159" spans="1:5" ht="13.5" thickBot="1">
      <c r="A159" s="169"/>
      <c r="B159" s="170"/>
      <c r="C159" s="447">
        <f>C93-C158</f>
        <v>-12819184</v>
      </c>
      <c r="D159" s="447">
        <f>D93-D158</f>
        <v>-12939184</v>
      </c>
      <c r="E159" s="171"/>
    </row>
    <row r="160" spans="1:5" ht="15" customHeight="1" thickBot="1">
      <c r="A160" s="340" t="s">
        <v>507</v>
      </c>
      <c r="B160" s="341"/>
      <c r="C160" s="329">
        <v>1</v>
      </c>
      <c r="D160" s="329">
        <v>1</v>
      </c>
      <c r="E160" s="328">
        <v>1</v>
      </c>
    </row>
    <row r="161" spans="1:5" ht="14.25" customHeight="1" thickBot="1">
      <c r="A161" s="342" t="s">
        <v>508</v>
      </c>
      <c r="B161" s="343"/>
      <c r="C161" s="329">
        <v>0</v>
      </c>
      <c r="D161" s="329">
        <v>0</v>
      </c>
      <c r="E161" s="328">
        <v>0</v>
      </c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9"/>
  <sheetViews>
    <sheetView zoomScale="120" zoomScaleNormal="120" zoomScaleSheetLayoutView="100" workbookViewId="0" topLeftCell="A1">
      <selection activeCell="E8" sqref="E8:E91"/>
    </sheetView>
  </sheetViews>
  <sheetFormatPr defaultColWidth="9.37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404"/>
      <c r="C1" s="405"/>
      <c r="D1" s="405"/>
      <c r="E1" s="450" t="str">
        <f>CONCATENATE("12. melléklet ",IB_ALAPADATOK!B7," ",IB_ALAPADATOK!C7," ",IB_ALAPADATOK!D7," ",IB_ALAPADATOK!E7)</f>
        <v>12. melléklet a 2022 I. félévi költségvetési tájékoztatóhoz</v>
      </c>
    </row>
    <row r="2" spans="1:5" s="45" customFormat="1" ht="21" customHeight="1" thickBot="1">
      <c r="A2" s="401" t="s">
        <v>48</v>
      </c>
      <c r="B2" s="603" t="str">
        <f>CONCATENATE(IB_ALAPADATOK!B3)</f>
        <v>Balatonvilágos Község Önkormányzata</v>
      </c>
      <c r="C2" s="603"/>
      <c r="D2" s="603"/>
      <c r="E2" s="402" t="s">
        <v>42</v>
      </c>
    </row>
    <row r="3" spans="1:5" s="45" customFormat="1" ht="23.25" thickBot="1">
      <c r="A3" s="401" t="s">
        <v>141</v>
      </c>
      <c r="B3" s="603" t="s">
        <v>339</v>
      </c>
      <c r="C3" s="603"/>
      <c r="D3" s="60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'11.sz.mell.'!E4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0" t="s">
        <v>43</v>
      </c>
      <c r="B7" s="601"/>
      <c r="C7" s="601"/>
      <c r="D7" s="601"/>
      <c r="E7" s="602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+C9+C10+C11+C12+C13+C15</f>
        <v>0</v>
      </c>
      <c r="D8" s="263">
        <f>+D9+D10+D11+D12+D13+D15</f>
        <v>0</v>
      </c>
      <c r="E8" s="115">
        <f>+E9+E10+E11+E12+E13+E15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578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178</v>
      </c>
      <c r="C13" s="180"/>
      <c r="D13" s="265"/>
      <c r="E13" s="116"/>
    </row>
    <row r="14" spans="1:5" s="48" customFormat="1" ht="12" customHeight="1">
      <c r="A14" s="210" t="s">
        <v>71</v>
      </c>
      <c r="B14" s="193" t="s">
        <v>412</v>
      </c>
      <c r="C14" s="180"/>
      <c r="D14" s="265"/>
      <c r="E14" s="116"/>
    </row>
    <row r="15" spans="1:5" s="47" customFormat="1" ht="12" customHeight="1" thickBot="1">
      <c r="A15" s="210" t="s">
        <v>72</v>
      </c>
      <c r="B15" s="499" t="s">
        <v>593</v>
      </c>
      <c r="C15" s="180"/>
      <c r="D15" s="265"/>
      <c r="E15" s="116"/>
    </row>
    <row r="16" spans="1:5" s="47" customFormat="1" ht="12" customHeight="1" thickBot="1">
      <c r="A16" s="24" t="s">
        <v>10</v>
      </c>
      <c r="B16" s="122" t="s">
        <v>179</v>
      </c>
      <c r="C16" s="179">
        <f>+C17+C18+C19+C20+C21</f>
        <v>0</v>
      </c>
      <c r="D16" s="263">
        <f>+D17+D18+D19+D20+D21</f>
        <v>0</v>
      </c>
      <c r="E16" s="115">
        <f>+E17+E18+E19+E20+E21</f>
        <v>0</v>
      </c>
    </row>
    <row r="17" spans="1:5" s="47" customFormat="1" ht="12" customHeight="1">
      <c r="A17" s="209" t="s">
        <v>73</v>
      </c>
      <c r="B17" s="192" t="s">
        <v>180</v>
      </c>
      <c r="C17" s="181"/>
      <c r="D17" s="264"/>
      <c r="E17" s="117"/>
    </row>
    <row r="18" spans="1:5" s="47" customFormat="1" ht="12" customHeight="1">
      <c r="A18" s="210" t="s">
        <v>74</v>
      </c>
      <c r="B18" s="193" t="s">
        <v>181</v>
      </c>
      <c r="C18" s="180"/>
      <c r="D18" s="265"/>
      <c r="E18" s="116"/>
    </row>
    <row r="19" spans="1:5" s="47" customFormat="1" ht="12" customHeight="1">
      <c r="A19" s="210" t="s">
        <v>75</v>
      </c>
      <c r="B19" s="193" t="s">
        <v>341</v>
      </c>
      <c r="C19" s="180"/>
      <c r="D19" s="265"/>
      <c r="E19" s="116"/>
    </row>
    <row r="20" spans="1:5" s="47" customFormat="1" ht="12" customHeight="1">
      <c r="A20" s="210" t="s">
        <v>76</v>
      </c>
      <c r="B20" s="193" t="s">
        <v>342</v>
      </c>
      <c r="C20" s="180"/>
      <c r="D20" s="265"/>
      <c r="E20" s="116"/>
    </row>
    <row r="21" spans="1:5" s="47" customFormat="1" ht="12" customHeight="1">
      <c r="A21" s="210" t="s">
        <v>77</v>
      </c>
      <c r="B21" s="193" t="s">
        <v>182</v>
      </c>
      <c r="C21" s="180"/>
      <c r="D21" s="265"/>
      <c r="E21" s="116"/>
    </row>
    <row r="22" spans="1:5" s="48" customFormat="1" ht="12" customHeight="1" thickBot="1">
      <c r="A22" s="211" t="s">
        <v>84</v>
      </c>
      <c r="B22" s="194" t="s">
        <v>183</v>
      </c>
      <c r="C22" s="182"/>
      <c r="D22" s="266"/>
      <c r="E22" s="118"/>
    </row>
    <row r="23" spans="1:5" s="48" customFormat="1" ht="12" customHeight="1" thickBot="1">
      <c r="A23" s="24" t="s">
        <v>11</v>
      </c>
      <c r="B23" s="19" t="s">
        <v>184</v>
      </c>
      <c r="C23" s="179">
        <f>+C24+C25+C26+C27+C28</f>
        <v>372742</v>
      </c>
      <c r="D23" s="263">
        <f>+D24+D25+D26+D27+D28</f>
        <v>372742</v>
      </c>
      <c r="E23" s="115">
        <f>+E24+E25+E26+E27+E28</f>
        <v>332642</v>
      </c>
    </row>
    <row r="24" spans="1:5" s="48" customFormat="1" ht="12" customHeight="1">
      <c r="A24" s="209" t="s">
        <v>56</v>
      </c>
      <c r="B24" s="192" t="s">
        <v>185</v>
      </c>
      <c r="C24" s="181"/>
      <c r="D24" s="264"/>
      <c r="E24" s="117"/>
    </row>
    <row r="25" spans="1:5" s="47" customFormat="1" ht="12" customHeight="1">
      <c r="A25" s="210" t="s">
        <v>57</v>
      </c>
      <c r="B25" s="193" t="s">
        <v>186</v>
      </c>
      <c r="C25" s="180"/>
      <c r="D25" s="265"/>
      <c r="E25" s="116"/>
    </row>
    <row r="26" spans="1:5" s="48" customFormat="1" ht="12" customHeight="1">
      <c r="A26" s="210" t="s">
        <v>58</v>
      </c>
      <c r="B26" s="193" t="s">
        <v>343</v>
      </c>
      <c r="C26" s="180">
        <v>372742</v>
      </c>
      <c r="D26" s="265">
        <v>372742</v>
      </c>
      <c r="E26" s="116">
        <v>332642</v>
      </c>
    </row>
    <row r="27" spans="1:5" s="48" customFormat="1" ht="12" customHeight="1">
      <c r="A27" s="210" t="s">
        <v>59</v>
      </c>
      <c r="B27" s="193" t="s">
        <v>344</v>
      </c>
      <c r="C27" s="180"/>
      <c r="D27" s="265"/>
      <c r="E27" s="116"/>
    </row>
    <row r="28" spans="1:5" s="48" customFormat="1" ht="12" customHeight="1">
      <c r="A28" s="210" t="s">
        <v>116</v>
      </c>
      <c r="B28" s="193" t="s">
        <v>187</v>
      </c>
      <c r="C28" s="180"/>
      <c r="D28" s="265"/>
      <c r="E28" s="116"/>
    </row>
    <row r="29" spans="1:5" s="48" customFormat="1" ht="12" customHeight="1" thickBot="1">
      <c r="A29" s="211" t="s">
        <v>117</v>
      </c>
      <c r="B29" s="194" t="s">
        <v>188</v>
      </c>
      <c r="C29" s="182"/>
      <c r="D29" s="266"/>
      <c r="E29" s="118"/>
    </row>
    <row r="30" spans="1:5" s="48" customFormat="1" ht="12" customHeight="1" thickBot="1">
      <c r="A30" s="24" t="s">
        <v>118</v>
      </c>
      <c r="B30" s="19" t="s">
        <v>497</v>
      </c>
      <c r="C30" s="185">
        <f>SUM(C31:C37)</f>
        <v>0</v>
      </c>
      <c r="D30" s="185">
        <f>SUM(D31:D37)</f>
        <v>0</v>
      </c>
      <c r="E30" s="221">
        <f>SUM(E31:E37)</f>
        <v>0</v>
      </c>
    </row>
    <row r="31" spans="1:5" s="48" customFormat="1" ht="12" customHeight="1">
      <c r="A31" s="209" t="s">
        <v>189</v>
      </c>
      <c r="B31" s="192" t="s">
        <v>498</v>
      </c>
      <c r="C31" s="181">
        <f>+C32+C33+C34</f>
        <v>0</v>
      </c>
      <c r="D31" s="181">
        <f>+D32+D33+D34</f>
        <v>0</v>
      </c>
      <c r="E31" s="117">
        <f>+E32+E33+E34</f>
        <v>0</v>
      </c>
    </row>
    <row r="32" spans="1:5" s="48" customFormat="1" ht="12" customHeight="1">
      <c r="A32" s="210" t="s">
        <v>190</v>
      </c>
      <c r="B32" s="193" t="s">
        <v>499</v>
      </c>
      <c r="C32" s="180"/>
      <c r="D32" s="180"/>
      <c r="E32" s="116"/>
    </row>
    <row r="33" spans="1:5" s="48" customFormat="1" ht="12" customHeight="1">
      <c r="A33" s="210" t="s">
        <v>191</v>
      </c>
      <c r="B33" s="193" t="s">
        <v>500</v>
      </c>
      <c r="C33" s="180"/>
      <c r="D33" s="180"/>
      <c r="E33" s="116"/>
    </row>
    <row r="34" spans="1:5" s="48" customFormat="1" ht="12" customHeight="1">
      <c r="A34" s="210" t="s">
        <v>192</v>
      </c>
      <c r="B34" s="193" t="s">
        <v>501</v>
      </c>
      <c r="C34" s="180"/>
      <c r="D34" s="180"/>
      <c r="E34" s="116"/>
    </row>
    <row r="35" spans="1:5" s="48" customFormat="1" ht="12" customHeight="1">
      <c r="A35" s="210" t="s">
        <v>502</v>
      </c>
      <c r="B35" s="193" t="s">
        <v>193</v>
      </c>
      <c r="C35" s="180"/>
      <c r="D35" s="180"/>
      <c r="E35" s="116"/>
    </row>
    <row r="36" spans="1:5" s="48" customFormat="1" ht="12" customHeight="1">
      <c r="A36" s="210" t="s">
        <v>503</v>
      </c>
      <c r="B36" s="193" t="s">
        <v>194</v>
      </c>
      <c r="C36" s="180"/>
      <c r="D36" s="180"/>
      <c r="E36" s="116"/>
    </row>
    <row r="37" spans="1:5" s="48" customFormat="1" ht="12" customHeight="1" thickBot="1">
      <c r="A37" s="211" t="s">
        <v>504</v>
      </c>
      <c r="B37" s="339" t="s">
        <v>195</v>
      </c>
      <c r="C37" s="182"/>
      <c r="D37" s="182"/>
      <c r="E37" s="118"/>
    </row>
    <row r="38" spans="1:5" s="48" customFormat="1" ht="12" customHeight="1" thickBot="1">
      <c r="A38" s="24" t="s">
        <v>13</v>
      </c>
      <c r="B38" s="19" t="s">
        <v>351</v>
      </c>
      <c r="C38" s="179">
        <f>SUM(C39:C49)</f>
        <v>16685167</v>
      </c>
      <c r="D38" s="263">
        <f>SUM(D39:D49)</f>
        <v>16685167</v>
      </c>
      <c r="E38" s="115">
        <f>SUM(E39:E49)</f>
        <v>12895245</v>
      </c>
    </row>
    <row r="39" spans="1:5" s="48" customFormat="1" ht="12" customHeight="1">
      <c r="A39" s="209" t="s">
        <v>60</v>
      </c>
      <c r="B39" s="192" t="s">
        <v>198</v>
      </c>
      <c r="C39" s="181"/>
      <c r="D39" s="264"/>
      <c r="E39" s="117"/>
    </row>
    <row r="40" spans="1:5" s="48" customFormat="1" ht="12" customHeight="1">
      <c r="A40" s="210" t="s">
        <v>61</v>
      </c>
      <c r="B40" s="193" t="s">
        <v>199</v>
      </c>
      <c r="C40" s="461">
        <v>11716082</v>
      </c>
      <c r="D40" s="461">
        <v>11716082</v>
      </c>
      <c r="E40" s="116">
        <v>9204373</v>
      </c>
    </row>
    <row r="41" spans="1:5" s="48" customFormat="1" ht="12" customHeight="1">
      <c r="A41" s="210" t="s">
        <v>62</v>
      </c>
      <c r="B41" s="193" t="s">
        <v>200</v>
      </c>
      <c r="C41" s="461"/>
      <c r="D41" s="461"/>
      <c r="E41" s="116"/>
    </row>
    <row r="42" spans="1:5" s="48" customFormat="1" ht="12" customHeight="1">
      <c r="A42" s="210" t="s">
        <v>120</v>
      </c>
      <c r="B42" s="193" t="s">
        <v>201</v>
      </c>
      <c r="C42" s="461">
        <v>2500000</v>
      </c>
      <c r="D42" s="461">
        <v>2500000</v>
      </c>
      <c r="E42" s="116">
        <v>1556516</v>
      </c>
    </row>
    <row r="43" spans="1:5" s="48" customFormat="1" ht="12" customHeight="1">
      <c r="A43" s="210" t="s">
        <v>121</v>
      </c>
      <c r="B43" s="193" t="s">
        <v>202</v>
      </c>
      <c r="C43" s="461"/>
      <c r="D43" s="461"/>
      <c r="E43" s="116"/>
    </row>
    <row r="44" spans="1:5" s="48" customFormat="1" ht="12" customHeight="1">
      <c r="A44" s="210" t="s">
        <v>122</v>
      </c>
      <c r="B44" s="193" t="s">
        <v>203</v>
      </c>
      <c r="C44" s="461">
        <v>2469085</v>
      </c>
      <c r="D44" s="461">
        <v>2469085</v>
      </c>
      <c r="E44" s="116">
        <v>2134356</v>
      </c>
    </row>
    <row r="45" spans="1:5" s="48" customFormat="1" ht="12" customHeight="1">
      <c r="A45" s="210" t="s">
        <v>123</v>
      </c>
      <c r="B45" s="193" t="s">
        <v>204</v>
      </c>
      <c r="C45" s="180"/>
      <c r="D45" s="265"/>
      <c r="E45" s="116"/>
    </row>
    <row r="46" spans="1:5" s="48" customFormat="1" ht="12" customHeight="1">
      <c r="A46" s="210" t="s">
        <v>124</v>
      </c>
      <c r="B46" s="193" t="s">
        <v>505</v>
      </c>
      <c r="C46" s="180"/>
      <c r="D46" s="265"/>
      <c r="E46" s="116"/>
    </row>
    <row r="47" spans="1:5" s="48" customFormat="1" ht="12" customHeight="1">
      <c r="A47" s="210" t="s">
        <v>196</v>
      </c>
      <c r="B47" s="193" t="s">
        <v>206</v>
      </c>
      <c r="C47" s="183"/>
      <c r="D47" s="324"/>
      <c r="E47" s="119"/>
    </row>
    <row r="48" spans="1:5" s="48" customFormat="1" ht="12" customHeight="1">
      <c r="A48" s="211" t="s">
        <v>197</v>
      </c>
      <c r="B48" s="194" t="s">
        <v>353</v>
      </c>
      <c r="C48" s="184"/>
      <c r="D48" s="325"/>
      <c r="E48" s="120"/>
    </row>
    <row r="49" spans="1:5" s="48" customFormat="1" ht="12" customHeight="1" thickBot="1">
      <c r="A49" s="211" t="s">
        <v>352</v>
      </c>
      <c r="B49" s="194" t="s">
        <v>207</v>
      </c>
      <c r="C49" s="184"/>
      <c r="D49" s="325"/>
      <c r="E49" s="120"/>
    </row>
    <row r="50" spans="1:5" s="48" customFormat="1" ht="12" customHeight="1" thickBot="1">
      <c r="A50" s="24" t="s">
        <v>14</v>
      </c>
      <c r="B50" s="19" t="s">
        <v>208</v>
      </c>
      <c r="C50" s="179">
        <f>SUM(C51:C55)</f>
        <v>0</v>
      </c>
      <c r="D50" s="263">
        <f>SUM(D51:D55)</f>
        <v>0</v>
      </c>
      <c r="E50" s="115">
        <f>SUM(E51:E55)</f>
        <v>0</v>
      </c>
    </row>
    <row r="51" spans="1:5" s="48" customFormat="1" ht="12" customHeight="1">
      <c r="A51" s="209" t="s">
        <v>63</v>
      </c>
      <c r="B51" s="192" t="s">
        <v>212</v>
      </c>
      <c r="C51" s="232"/>
      <c r="D51" s="326"/>
      <c r="E51" s="121"/>
    </row>
    <row r="52" spans="1:5" s="48" customFormat="1" ht="12" customHeight="1">
      <c r="A52" s="210" t="s">
        <v>64</v>
      </c>
      <c r="B52" s="193" t="s">
        <v>213</v>
      </c>
      <c r="C52" s="183"/>
      <c r="D52" s="183"/>
      <c r="E52" s="119"/>
    </row>
    <row r="53" spans="1:5" s="48" customFormat="1" ht="12" customHeight="1">
      <c r="A53" s="210" t="s">
        <v>209</v>
      </c>
      <c r="B53" s="193" t="s">
        <v>214</v>
      </c>
      <c r="C53" s="183"/>
      <c r="D53" s="324"/>
      <c r="E53" s="119"/>
    </row>
    <row r="54" spans="1:5" s="48" customFormat="1" ht="12" customHeight="1">
      <c r="A54" s="210" t="s">
        <v>210</v>
      </c>
      <c r="B54" s="193" t="s">
        <v>215</v>
      </c>
      <c r="C54" s="183"/>
      <c r="D54" s="324"/>
      <c r="E54" s="119"/>
    </row>
    <row r="55" spans="1:5" s="48" customFormat="1" ht="12" customHeight="1" thickBot="1">
      <c r="A55" s="211" t="s">
        <v>211</v>
      </c>
      <c r="B55" s="194" t="s">
        <v>216</v>
      </c>
      <c r="C55" s="184"/>
      <c r="D55" s="325"/>
      <c r="E55" s="120"/>
    </row>
    <row r="56" spans="1:5" s="48" customFormat="1" ht="12" customHeight="1" thickBot="1">
      <c r="A56" s="24" t="s">
        <v>125</v>
      </c>
      <c r="B56" s="19" t="s">
        <v>217</v>
      </c>
      <c r="C56" s="179">
        <f>SUM(C57:C59)</f>
        <v>0</v>
      </c>
      <c r="D56" s="263">
        <f>SUM(D57:D59)</f>
        <v>0</v>
      </c>
      <c r="E56" s="115">
        <f>SUM(E57:E59)</f>
        <v>0</v>
      </c>
    </row>
    <row r="57" spans="1:5" s="48" customFormat="1" ht="12" customHeight="1">
      <c r="A57" s="209" t="s">
        <v>65</v>
      </c>
      <c r="B57" s="192" t="s">
        <v>218</v>
      </c>
      <c r="C57" s="181"/>
      <c r="D57" s="264"/>
      <c r="E57" s="117"/>
    </row>
    <row r="58" spans="1:5" s="48" customFormat="1" ht="12" customHeight="1">
      <c r="A58" s="210" t="s">
        <v>66</v>
      </c>
      <c r="B58" s="193" t="s">
        <v>345</v>
      </c>
      <c r="C58" s="180"/>
      <c r="D58" s="265"/>
      <c r="E58" s="116"/>
    </row>
    <row r="59" spans="1:5" s="48" customFormat="1" ht="12" customHeight="1">
      <c r="A59" s="210" t="s">
        <v>221</v>
      </c>
      <c r="B59" s="193" t="s">
        <v>219</v>
      </c>
      <c r="C59" s="180"/>
      <c r="D59" s="265"/>
      <c r="E59" s="116"/>
    </row>
    <row r="60" spans="1:5" s="48" customFormat="1" ht="12" customHeight="1" thickBot="1">
      <c r="A60" s="211" t="s">
        <v>222</v>
      </c>
      <c r="B60" s="194" t="s">
        <v>220</v>
      </c>
      <c r="C60" s="182"/>
      <c r="D60" s="266"/>
      <c r="E60" s="118"/>
    </row>
    <row r="61" spans="1:5" s="48" customFormat="1" ht="12" customHeight="1" thickBot="1">
      <c r="A61" s="24" t="s">
        <v>16</v>
      </c>
      <c r="B61" s="122" t="s">
        <v>223</v>
      </c>
      <c r="C61" s="179">
        <f>SUM(C62:C64)</f>
        <v>0</v>
      </c>
      <c r="D61" s="263">
        <f>SUM(D62:D64)</f>
        <v>0</v>
      </c>
      <c r="E61" s="115">
        <f>SUM(E62:E64)</f>
        <v>0</v>
      </c>
    </row>
    <row r="62" spans="1:5" s="48" customFormat="1" ht="12" customHeight="1">
      <c r="A62" s="209" t="s">
        <v>126</v>
      </c>
      <c r="B62" s="192" t="s">
        <v>225</v>
      </c>
      <c r="C62" s="183"/>
      <c r="D62" s="324"/>
      <c r="E62" s="119"/>
    </row>
    <row r="63" spans="1:5" s="48" customFormat="1" ht="12" customHeight="1">
      <c r="A63" s="210" t="s">
        <v>127</v>
      </c>
      <c r="B63" s="193" t="s">
        <v>346</v>
      </c>
      <c r="C63" s="183"/>
      <c r="D63" s="324"/>
      <c r="E63" s="119"/>
    </row>
    <row r="64" spans="1:5" s="48" customFormat="1" ht="12" customHeight="1">
      <c r="A64" s="210" t="s">
        <v>157</v>
      </c>
      <c r="B64" s="193" t="s">
        <v>226</v>
      </c>
      <c r="C64" s="183"/>
      <c r="D64" s="324"/>
      <c r="E64" s="119"/>
    </row>
    <row r="65" spans="1:5" s="48" customFormat="1" ht="12" customHeight="1" thickBot="1">
      <c r="A65" s="211" t="s">
        <v>224</v>
      </c>
      <c r="B65" s="194" t="s">
        <v>227</v>
      </c>
      <c r="C65" s="183"/>
      <c r="D65" s="324"/>
      <c r="E65" s="119"/>
    </row>
    <row r="66" spans="1:5" s="48" customFormat="1" ht="12" customHeight="1" thickBot="1">
      <c r="A66" s="24" t="s">
        <v>17</v>
      </c>
      <c r="B66" s="19" t="s">
        <v>228</v>
      </c>
      <c r="C66" s="185">
        <f>+C8+C16+C23+C30+C38+C50+C56+C61</f>
        <v>17057909</v>
      </c>
      <c r="D66" s="267">
        <f>+D8+D16+D23+D30+D38+D50+D56+D61</f>
        <v>17057909</v>
      </c>
      <c r="E66" s="221">
        <f>+E8+E16+E23+E30+E38+E50+E56+E61</f>
        <v>13227887</v>
      </c>
    </row>
    <row r="67" spans="1:5" s="48" customFormat="1" ht="12" customHeight="1" thickBot="1">
      <c r="A67" s="212" t="s">
        <v>315</v>
      </c>
      <c r="B67" s="122" t="s">
        <v>230</v>
      </c>
      <c r="C67" s="179">
        <f>SUM(C68:C70)</f>
        <v>0</v>
      </c>
      <c r="D67" s="263">
        <f>SUM(D68:D70)</f>
        <v>0</v>
      </c>
      <c r="E67" s="115">
        <f>SUM(E68:E70)</f>
        <v>0</v>
      </c>
    </row>
    <row r="68" spans="1:5" s="48" customFormat="1" ht="12" customHeight="1">
      <c r="A68" s="209" t="s">
        <v>258</v>
      </c>
      <c r="B68" s="192" t="s">
        <v>231</v>
      </c>
      <c r="C68" s="183"/>
      <c r="D68" s="324"/>
      <c r="E68" s="119"/>
    </row>
    <row r="69" spans="1:5" s="48" customFormat="1" ht="12" customHeight="1">
      <c r="A69" s="210" t="s">
        <v>267</v>
      </c>
      <c r="B69" s="193" t="s">
        <v>232</v>
      </c>
      <c r="C69" s="183"/>
      <c r="D69" s="324"/>
      <c r="E69" s="119"/>
    </row>
    <row r="70" spans="1:5" s="48" customFormat="1" ht="12" customHeight="1" thickBot="1">
      <c r="A70" s="211" t="s">
        <v>268</v>
      </c>
      <c r="B70" s="195" t="s">
        <v>233</v>
      </c>
      <c r="C70" s="183"/>
      <c r="D70" s="327"/>
      <c r="E70" s="119"/>
    </row>
    <row r="71" spans="1:5" s="48" customFormat="1" ht="12" customHeight="1" thickBot="1">
      <c r="A71" s="212" t="s">
        <v>234</v>
      </c>
      <c r="B71" s="122" t="s">
        <v>235</v>
      </c>
      <c r="C71" s="179">
        <f>SUM(C72:C75)</f>
        <v>0</v>
      </c>
      <c r="D71" s="179">
        <f>SUM(D72:D75)</f>
        <v>0</v>
      </c>
      <c r="E71" s="115">
        <f>SUM(E72:E75)</f>
        <v>0</v>
      </c>
    </row>
    <row r="72" spans="1:5" s="48" customFormat="1" ht="12" customHeight="1">
      <c r="A72" s="209" t="s">
        <v>103</v>
      </c>
      <c r="B72" s="372" t="s">
        <v>236</v>
      </c>
      <c r="C72" s="183"/>
      <c r="D72" s="183"/>
      <c r="E72" s="119"/>
    </row>
    <row r="73" spans="1:5" s="48" customFormat="1" ht="12" customHeight="1">
      <c r="A73" s="210" t="s">
        <v>104</v>
      </c>
      <c r="B73" s="372" t="s">
        <v>512</v>
      </c>
      <c r="C73" s="183"/>
      <c r="D73" s="183"/>
      <c r="E73" s="119"/>
    </row>
    <row r="74" spans="1:5" s="48" customFormat="1" ht="12" customHeight="1">
      <c r="A74" s="210" t="s">
        <v>259</v>
      </c>
      <c r="B74" s="372" t="s">
        <v>237</v>
      </c>
      <c r="C74" s="183"/>
      <c r="D74" s="183"/>
      <c r="E74" s="119"/>
    </row>
    <row r="75" spans="1:5" s="48" customFormat="1" ht="12" customHeight="1" thickBot="1">
      <c r="A75" s="211" t="s">
        <v>260</v>
      </c>
      <c r="B75" s="373" t="s">
        <v>513</v>
      </c>
      <c r="C75" s="183"/>
      <c r="D75" s="183"/>
      <c r="E75" s="119"/>
    </row>
    <row r="76" spans="1:5" s="48" customFormat="1" ht="12" customHeight="1" thickBot="1">
      <c r="A76" s="212" t="s">
        <v>238</v>
      </c>
      <c r="B76" s="122" t="s">
        <v>239</v>
      </c>
      <c r="C76" s="179">
        <f>SUM(C77:C78)</f>
        <v>0</v>
      </c>
      <c r="D76" s="179">
        <f>SUM(D77:D78)</f>
        <v>0</v>
      </c>
      <c r="E76" s="115">
        <f>SUM(E77:E78)</f>
        <v>0</v>
      </c>
    </row>
    <row r="77" spans="1:5" s="48" customFormat="1" ht="12" customHeight="1">
      <c r="A77" s="209" t="s">
        <v>261</v>
      </c>
      <c r="B77" s="192" t="s">
        <v>240</v>
      </c>
      <c r="C77" s="183"/>
      <c r="D77" s="183"/>
      <c r="E77" s="119"/>
    </row>
    <row r="78" spans="1:5" s="48" customFormat="1" ht="12" customHeight="1" thickBot="1">
      <c r="A78" s="211" t="s">
        <v>262</v>
      </c>
      <c r="B78" s="194" t="s">
        <v>241</v>
      </c>
      <c r="C78" s="183"/>
      <c r="D78" s="183"/>
      <c r="E78" s="119"/>
    </row>
    <row r="79" spans="1:5" s="47" customFormat="1" ht="12" customHeight="1" thickBot="1">
      <c r="A79" s="212" t="s">
        <v>242</v>
      </c>
      <c r="B79" s="122" t="s">
        <v>243</v>
      </c>
      <c r="C79" s="179">
        <f>SUM(C80:C82)</f>
        <v>0</v>
      </c>
      <c r="D79" s="179">
        <f>SUM(D80:D82)</f>
        <v>0</v>
      </c>
      <c r="E79" s="115">
        <f>SUM(E80:E82)</f>
        <v>0</v>
      </c>
    </row>
    <row r="80" spans="1:5" s="48" customFormat="1" ht="12" customHeight="1">
      <c r="A80" s="209" t="s">
        <v>263</v>
      </c>
      <c r="B80" s="192" t="s">
        <v>244</v>
      </c>
      <c r="C80" s="183"/>
      <c r="D80" s="183"/>
      <c r="E80" s="119"/>
    </row>
    <row r="81" spans="1:5" s="48" customFormat="1" ht="12" customHeight="1">
      <c r="A81" s="210" t="s">
        <v>264</v>
      </c>
      <c r="B81" s="193" t="s">
        <v>245</v>
      </c>
      <c r="C81" s="183"/>
      <c r="D81" s="183"/>
      <c r="E81" s="119"/>
    </row>
    <row r="82" spans="1:5" s="48" customFormat="1" ht="12" customHeight="1" thickBot="1">
      <c r="A82" s="211" t="s">
        <v>265</v>
      </c>
      <c r="B82" s="194" t="s">
        <v>514</v>
      </c>
      <c r="C82" s="183"/>
      <c r="D82" s="183"/>
      <c r="E82" s="119"/>
    </row>
    <row r="83" spans="1:5" s="48" customFormat="1" ht="12" customHeight="1" thickBot="1">
      <c r="A83" s="212" t="s">
        <v>246</v>
      </c>
      <c r="B83" s="122" t="s">
        <v>266</v>
      </c>
      <c r="C83" s="179">
        <f>SUM(C84:C87)</f>
        <v>0</v>
      </c>
      <c r="D83" s="179">
        <f>SUM(D84:D87)</f>
        <v>0</v>
      </c>
      <c r="E83" s="115">
        <f>SUM(E84:E87)</f>
        <v>0</v>
      </c>
    </row>
    <row r="84" spans="1:5" s="48" customFormat="1" ht="12" customHeight="1">
      <c r="A84" s="213" t="s">
        <v>247</v>
      </c>
      <c r="B84" s="192" t="s">
        <v>248</v>
      </c>
      <c r="C84" s="183"/>
      <c r="D84" s="183"/>
      <c r="E84" s="119"/>
    </row>
    <row r="85" spans="1:5" s="48" customFormat="1" ht="12" customHeight="1">
      <c r="A85" s="214" t="s">
        <v>249</v>
      </c>
      <c r="B85" s="193" t="s">
        <v>250</v>
      </c>
      <c r="C85" s="183"/>
      <c r="D85" s="183"/>
      <c r="E85" s="119"/>
    </row>
    <row r="86" spans="1:5" s="48" customFormat="1" ht="12" customHeight="1">
      <c r="A86" s="214" t="s">
        <v>251</v>
      </c>
      <c r="B86" s="193" t="s">
        <v>252</v>
      </c>
      <c r="C86" s="183"/>
      <c r="D86" s="183"/>
      <c r="E86" s="119"/>
    </row>
    <row r="87" spans="1:5" s="47" customFormat="1" ht="12" customHeight="1" thickBot="1">
      <c r="A87" s="215" t="s">
        <v>253</v>
      </c>
      <c r="B87" s="194" t="s">
        <v>254</v>
      </c>
      <c r="C87" s="183"/>
      <c r="D87" s="183"/>
      <c r="E87" s="119"/>
    </row>
    <row r="88" spans="1:5" s="47" customFormat="1" ht="12" customHeight="1" thickBot="1">
      <c r="A88" s="212" t="s">
        <v>255</v>
      </c>
      <c r="B88" s="122" t="s">
        <v>392</v>
      </c>
      <c r="C88" s="235"/>
      <c r="D88" s="235"/>
      <c r="E88" s="236"/>
    </row>
    <row r="89" spans="1:5" s="47" customFormat="1" ht="12" customHeight="1" thickBot="1">
      <c r="A89" s="212" t="s">
        <v>413</v>
      </c>
      <c r="B89" s="122" t="s">
        <v>256</v>
      </c>
      <c r="C89" s="235"/>
      <c r="D89" s="235"/>
      <c r="E89" s="236"/>
    </row>
    <row r="90" spans="1:5" s="47" customFormat="1" ht="12" customHeight="1" thickBot="1">
      <c r="A90" s="212" t="s">
        <v>414</v>
      </c>
      <c r="B90" s="199" t="s">
        <v>395</v>
      </c>
      <c r="C90" s="185">
        <f>+C67+C71+C76+C79+C83+C89+C88</f>
        <v>0</v>
      </c>
      <c r="D90" s="185">
        <f>+D67+D71+D76+D79+D83+D89+D88</f>
        <v>0</v>
      </c>
      <c r="E90" s="221">
        <f>+E67+E71+E76+E79+E83+E89+E88</f>
        <v>0</v>
      </c>
    </row>
    <row r="91" spans="1:5" s="47" customFormat="1" ht="12" customHeight="1" thickBot="1">
      <c r="A91" s="216" t="s">
        <v>415</v>
      </c>
      <c r="B91" s="200" t="s">
        <v>416</v>
      </c>
      <c r="C91" s="185">
        <f>+C66+C90</f>
        <v>17057909</v>
      </c>
      <c r="D91" s="185">
        <f>+D66+D90</f>
        <v>17057909</v>
      </c>
      <c r="E91" s="221">
        <f>+E66+E90</f>
        <v>13227887</v>
      </c>
    </row>
    <row r="92" spans="1:3" s="48" customFormat="1" ht="15" customHeight="1" thickBot="1">
      <c r="A92" s="91"/>
      <c r="B92" s="92"/>
      <c r="C92" s="161"/>
    </row>
    <row r="93" spans="1:5" s="41" customFormat="1" ht="16.5" customHeight="1" thickBot="1">
      <c r="A93" s="600" t="s">
        <v>44</v>
      </c>
      <c r="B93" s="601"/>
      <c r="C93" s="601"/>
      <c r="D93" s="601"/>
      <c r="E93" s="602"/>
    </row>
    <row r="94" spans="1:5" s="49" customFormat="1" ht="12" customHeight="1" thickBot="1">
      <c r="A94" s="186" t="s">
        <v>9</v>
      </c>
      <c r="B94" s="23" t="s">
        <v>420</v>
      </c>
      <c r="C94" s="178">
        <f>C95+C96+C97+C98+C99+C112</f>
        <v>1859725</v>
      </c>
      <c r="D94" s="178">
        <f>+D95+D96+D97+D98+D99+D112</f>
        <v>1739725</v>
      </c>
      <c r="E94" s="246">
        <f>+E95+E96+E97+E98+E99+E112</f>
        <v>480000</v>
      </c>
    </row>
    <row r="95" spans="1:5" ht="12" customHeight="1">
      <c r="A95" s="217" t="s">
        <v>67</v>
      </c>
      <c r="B95" s="8" t="s">
        <v>38</v>
      </c>
      <c r="C95" s="253"/>
      <c r="D95" s="253"/>
      <c r="E95" s="247"/>
    </row>
    <row r="96" spans="1:5" ht="12" customHeight="1">
      <c r="A96" s="210" t="s">
        <v>68</v>
      </c>
      <c r="B96" s="6" t="s">
        <v>128</v>
      </c>
      <c r="C96" s="180"/>
      <c r="D96" s="180"/>
      <c r="E96" s="116"/>
    </row>
    <row r="97" spans="1:5" ht="12" customHeight="1">
      <c r="A97" s="210" t="s">
        <v>69</v>
      </c>
      <c r="B97" s="6" t="s">
        <v>95</v>
      </c>
      <c r="C97" s="182"/>
      <c r="D97" s="180"/>
      <c r="E97" s="118"/>
    </row>
    <row r="98" spans="1:5" ht="12" customHeight="1">
      <c r="A98" s="210" t="s">
        <v>70</v>
      </c>
      <c r="B98" s="9" t="s">
        <v>129</v>
      </c>
      <c r="C98" s="182"/>
      <c r="D98" s="266"/>
      <c r="E98" s="118"/>
    </row>
    <row r="99" spans="1:5" ht="12" customHeight="1">
      <c r="A99" s="210" t="s">
        <v>79</v>
      </c>
      <c r="B99" s="17" t="s">
        <v>130</v>
      </c>
      <c r="C99" s="182">
        <v>1859725</v>
      </c>
      <c r="D99" s="182">
        <v>1739725</v>
      </c>
      <c r="E99" s="118">
        <v>480000</v>
      </c>
    </row>
    <row r="100" spans="1:5" ht="12" customHeight="1">
      <c r="A100" s="210" t="s">
        <v>71</v>
      </c>
      <c r="B100" s="6" t="s">
        <v>417</v>
      </c>
      <c r="C100" s="463"/>
      <c r="D100" s="266"/>
      <c r="E100" s="118"/>
    </row>
    <row r="101" spans="1:5" ht="12" customHeight="1">
      <c r="A101" s="210" t="s">
        <v>72</v>
      </c>
      <c r="B101" s="59" t="s">
        <v>358</v>
      </c>
      <c r="C101" s="463"/>
      <c r="D101" s="266"/>
      <c r="E101" s="118"/>
    </row>
    <row r="102" spans="1:5" ht="12" customHeight="1">
      <c r="A102" s="210" t="s">
        <v>80</v>
      </c>
      <c r="B102" s="59" t="s">
        <v>357</v>
      </c>
      <c r="C102" s="463"/>
      <c r="D102" s="266"/>
      <c r="E102" s="118"/>
    </row>
    <row r="103" spans="1:5" ht="12" customHeight="1">
      <c r="A103" s="210" t="s">
        <v>81</v>
      </c>
      <c r="B103" s="59" t="s">
        <v>272</v>
      </c>
      <c r="C103" s="463"/>
      <c r="D103" s="266"/>
      <c r="E103" s="118"/>
    </row>
    <row r="104" spans="1:5" ht="12" customHeight="1">
      <c r="A104" s="210" t="s">
        <v>82</v>
      </c>
      <c r="B104" s="60" t="s">
        <v>273</v>
      </c>
      <c r="C104" s="463"/>
      <c r="D104" s="266"/>
      <c r="E104" s="118"/>
    </row>
    <row r="105" spans="1:5" ht="12" customHeight="1">
      <c r="A105" s="210" t="s">
        <v>83</v>
      </c>
      <c r="B105" s="60" t="s">
        <v>274</v>
      </c>
      <c r="C105" s="463"/>
      <c r="D105" s="266"/>
      <c r="E105" s="118"/>
    </row>
    <row r="106" spans="1:5" ht="12" customHeight="1">
      <c r="A106" s="210" t="s">
        <v>85</v>
      </c>
      <c r="B106" s="59" t="s">
        <v>275</v>
      </c>
      <c r="C106" s="463"/>
      <c r="D106" s="266"/>
      <c r="E106" s="118"/>
    </row>
    <row r="107" spans="1:5" ht="12" customHeight="1">
      <c r="A107" s="210" t="s">
        <v>131</v>
      </c>
      <c r="B107" s="59" t="s">
        <v>276</v>
      </c>
      <c r="C107" s="463"/>
      <c r="D107" s="266"/>
      <c r="E107" s="118"/>
    </row>
    <row r="108" spans="1:5" ht="12" customHeight="1">
      <c r="A108" s="210" t="s">
        <v>270</v>
      </c>
      <c r="B108" s="60" t="s">
        <v>277</v>
      </c>
      <c r="C108" s="463"/>
      <c r="D108" s="266"/>
      <c r="E108" s="118"/>
    </row>
    <row r="109" spans="1:5" ht="12" customHeight="1">
      <c r="A109" s="218" t="s">
        <v>271</v>
      </c>
      <c r="B109" s="61" t="s">
        <v>278</v>
      </c>
      <c r="C109" s="463"/>
      <c r="D109" s="266"/>
      <c r="E109" s="118"/>
    </row>
    <row r="110" spans="1:5" ht="12" customHeight="1">
      <c r="A110" s="210" t="s">
        <v>355</v>
      </c>
      <c r="B110" s="61" t="s">
        <v>279</v>
      </c>
      <c r="C110" s="463"/>
      <c r="D110" s="182"/>
      <c r="E110" s="118"/>
    </row>
    <row r="111" spans="1:5" ht="12" customHeight="1">
      <c r="A111" s="210" t="s">
        <v>356</v>
      </c>
      <c r="B111" s="60" t="s">
        <v>280</v>
      </c>
      <c r="C111" s="463">
        <v>1859725</v>
      </c>
      <c r="D111" s="265">
        <v>1739725</v>
      </c>
      <c r="E111" s="116">
        <v>480000</v>
      </c>
    </row>
    <row r="112" spans="1:5" ht="12" customHeight="1">
      <c r="A112" s="210" t="s">
        <v>360</v>
      </c>
      <c r="B112" s="9" t="s">
        <v>39</v>
      </c>
      <c r="C112" s="461"/>
      <c r="D112" s="265"/>
      <c r="E112" s="116"/>
    </row>
    <row r="113" spans="1:5" ht="12" customHeight="1">
      <c r="A113" s="211" t="s">
        <v>361</v>
      </c>
      <c r="B113" s="6" t="s">
        <v>418</v>
      </c>
      <c r="C113" s="182"/>
      <c r="D113" s="266"/>
      <c r="E113" s="118"/>
    </row>
    <row r="114" spans="1:5" ht="12" customHeight="1" thickBot="1">
      <c r="A114" s="219" t="s">
        <v>362</v>
      </c>
      <c r="B114" s="62" t="s">
        <v>419</v>
      </c>
      <c r="C114" s="254"/>
      <c r="D114" s="330"/>
      <c r="E114" s="248"/>
    </row>
    <row r="115" spans="1:5" ht="12" customHeight="1" thickBot="1">
      <c r="A115" s="24" t="s">
        <v>10</v>
      </c>
      <c r="B115" s="22" t="s">
        <v>281</v>
      </c>
      <c r="C115" s="179">
        <f>+C116+C118+C120</f>
        <v>2000000</v>
      </c>
      <c r="D115" s="263">
        <f>+D116+D118+D120</f>
        <v>2000000</v>
      </c>
      <c r="E115" s="115">
        <f>+E116+E118+E120</f>
        <v>500000</v>
      </c>
    </row>
    <row r="116" spans="1:5" ht="12" customHeight="1">
      <c r="A116" s="209" t="s">
        <v>73</v>
      </c>
      <c r="B116" s="6" t="s">
        <v>156</v>
      </c>
      <c r="C116" s="181"/>
      <c r="D116" s="264"/>
      <c r="E116" s="117"/>
    </row>
    <row r="117" spans="1:5" ht="12" customHeight="1">
      <c r="A117" s="209" t="s">
        <v>74</v>
      </c>
      <c r="B117" s="10" t="s">
        <v>285</v>
      </c>
      <c r="C117" s="181"/>
      <c r="D117" s="264"/>
      <c r="E117" s="117"/>
    </row>
    <row r="118" spans="1:5" ht="12" customHeight="1">
      <c r="A118" s="209" t="s">
        <v>75</v>
      </c>
      <c r="B118" s="10" t="s">
        <v>132</v>
      </c>
      <c r="C118" s="180"/>
      <c r="D118" s="265"/>
      <c r="E118" s="116"/>
    </row>
    <row r="119" spans="1:5" ht="12" customHeight="1">
      <c r="A119" s="209" t="s">
        <v>76</v>
      </c>
      <c r="B119" s="10" t="s">
        <v>286</v>
      </c>
      <c r="C119" s="180"/>
      <c r="D119" s="265"/>
      <c r="E119" s="116"/>
    </row>
    <row r="120" spans="1:5" ht="12" customHeight="1">
      <c r="A120" s="209" t="s">
        <v>77</v>
      </c>
      <c r="B120" s="124" t="s">
        <v>158</v>
      </c>
      <c r="C120" s="180">
        <v>2000000</v>
      </c>
      <c r="D120" s="180">
        <v>2000000</v>
      </c>
      <c r="E120" s="116">
        <v>500000</v>
      </c>
    </row>
    <row r="121" spans="1:5" ht="12" customHeight="1">
      <c r="A121" s="209" t="s">
        <v>84</v>
      </c>
      <c r="B121" s="123" t="s">
        <v>347</v>
      </c>
      <c r="C121" s="180"/>
      <c r="D121" s="265"/>
      <c r="E121" s="116"/>
    </row>
    <row r="122" spans="1:5" ht="12" customHeight="1">
      <c r="A122" s="209" t="s">
        <v>86</v>
      </c>
      <c r="B122" s="188" t="s">
        <v>291</v>
      </c>
      <c r="C122" s="180"/>
      <c r="D122" s="265"/>
      <c r="E122" s="116"/>
    </row>
    <row r="123" spans="1:5" ht="12" customHeight="1">
      <c r="A123" s="209" t="s">
        <v>133</v>
      </c>
      <c r="B123" s="60" t="s">
        <v>274</v>
      </c>
      <c r="C123" s="180"/>
      <c r="D123" s="265"/>
      <c r="E123" s="116"/>
    </row>
    <row r="124" spans="1:5" ht="12" customHeight="1">
      <c r="A124" s="209" t="s">
        <v>134</v>
      </c>
      <c r="B124" s="60" t="s">
        <v>290</v>
      </c>
      <c r="C124" s="180"/>
      <c r="D124" s="265"/>
      <c r="E124" s="116"/>
    </row>
    <row r="125" spans="1:5" ht="12" customHeight="1">
      <c r="A125" s="209" t="s">
        <v>135</v>
      </c>
      <c r="B125" s="60" t="s">
        <v>289</v>
      </c>
      <c r="C125" s="180"/>
      <c r="D125" s="265"/>
      <c r="E125" s="116"/>
    </row>
    <row r="126" spans="1:5" ht="12" customHeight="1">
      <c r="A126" s="209" t="s">
        <v>282</v>
      </c>
      <c r="B126" s="60" t="s">
        <v>277</v>
      </c>
      <c r="C126" s="180">
        <v>2000000</v>
      </c>
      <c r="D126" s="180">
        <v>2000000</v>
      </c>
      <c r="E126" s="116">
        <v>500000</v>
      </c>
    </row>
    <row r="127" spans="1:5" ht="12" customHeight="1">
      <c r="A127" s="209" t="s">
        <v>283</v>
      </c>
      <c r="B127" s="60" t="s">
        <v>288</v>
      </c>
      <c r="C127" s="180"/>
      <c r="D127" s="265"/>
      <c r="E127" s="116"/>
    </row>
    <row r="128" spans="1:5" ht="12" customHeight="1" thickBot="1">
      <c r="A128" s="218" t="s">
        <v>284</v>
      </c>
      <c r="B128" s="60" t="s">
        <v>287</v>
      </c>
      <c r="C128" s="182"/>
      <c r="D128" s="266"/>
      <c r="E128" s="118"/>
    </row>
    <row r="129" spans="1:5" ht="12" customHeight="1" thickBot="1">
      <c r="A129" s="24" t="s">
        <v>11</v>
      </c>
      <c r="B129" s="53" t="s">
        <v>365</v>
      </c>
      <c r="C129" s="179">
        <f>+C94+C115</f>
        <v>3859725</v>
      </c>
      <c r="D129" s="263">
        <f>+D94+D115</f>
        <v>3739725</v>
      </c>
      <c r="E129" s="115">
        <f>+E94+E115</f>
        <v>980000</v>
      </c>
    </row>
    <row r="130" spans="1:5" ht="12" customHeight="1" thickBot="1">
      <c r="A130" s="24" t="s">
        <v>12</v>
      </c>
      <c r="B130" s="53" t="s">
        <v>366</v>
      </c>
      <c r="C130" s="179">
        <f>+C131+C132+C133</f>
        <v>0</v>
      </c>
      <c r="D130" s="263">
        <f>+D131+D132+D133</f>
        <v>0</v>
      </c>
      <c r="E130" s="115">
        <f>+E131+E132+E133</f>
        <v>0</v>
      </c>
    </row>
    <row r="131" spans="1:5" s="49" customFormat="1" ht="12" customHeight="1">
      <c r="A131" s="209" t="s">
        <v>189</v>
      </c>
      <c r="B131" s="7" t="s">
        <v>423</v>
      </c>
      <c r="C131" s="180"/>
      <c r="D131" s="265"/>
      <c r="E131" s="116"/>
    </row>
    <row r="132" spans="1:5" ht="12" customHeight="1">
      <c r="A132" s="209" t="s">
        <v>190</v>
      </c>
      <c r="B132" s="7" t="s">
        <v>374</v>
      </c>
      <c r="C132" s="180"/>
      <c r="D132" s="265"/>
      <c r="E132" s="116"/>
    </row>
    <row r="133" spans="1:5" ht="12" customHeight="1" thickBot="1">
      <c r="A133" s="218" t="s">
        <v>191</v>
      </c>
      <c r="B133" s="5" t="s">
        <v>422</v>
      </c>
      <c r="C133" s="180"/>
      <c r="D133" s="265"/>
      <c r="E133" s="116"/>
    </row>
    <row r="134" spans="1:5" ht="12" customHeight="1" thickBot="1">
      <c r="A134" s="24" t="s">
        <v>13</v>
      </c>
      <c r="B134" s="53" t="s">
        <v>367</v>
      </c>
      <c r="C134" s="179">
        <f>+C135+C136+C137+C138+C139+C140</f>
        <v>0</v>
      </c>
      <c r="D134" s="263">
        <f>+D135+D136+D137+D138+D139+D140</f>
        <v>0</v>
      </c>
      <c r="E134" s="115">
        <f>+E135+E136+E137+E138+E139+E140</f>
        <v>0</v>
      </c>
    </row>
    <row r="135" spans="1:5" ht="12" customHeight="1">
      <c r="A135" s="209" t="s">
        <v>60</v>
      </c>
      <c r="B135" s="7" t="s">
        <v>376</v>
      </c>
      <c r="C135" s="180"/>
      <c r="D135" s="265"/>
      <c r="E135" s="116"/>
    </row>
    <row r="136" spans="1:5" ht="12" customHeight="1">
      <c r="A136" s="209" t="s">
        <v>61</v>
      </c>
      <c r="B136" s="7" t="s">
        <v>368</v>
      </c>
      <c r="C136" s="180"/>
      <c r="D136" s="265"/>
      <c r="E136" s="116"/>
    </row>
    <row r="137" spans="1:5" ht="12" customHeight="1">
      <c r="A137" s="209" t="s">
        <v>62</v>
      </c>
      <c r="B137" s="7" t="s">
        <v>369</v>
      </c>
      <c r="C137" s="180"/>
      <c r="D137" s="265"/>
      <c r="E137" s="116"/>
    </row>
    <row r="138" spans="1:5" ht="12" customHeight="1">
      <c r="A138" s="209" t="s">
        <v>120</v>
      </c>
      <c r="B138" s="7" t="s">
        <v>421</v>
      </c>
      <c r="C138" s="180"/>
      <c r="D138" s="265"/>
      <c r="E138" s="116"/>
    </row>
    <row r="139" spans="1:5" ht="12" customHeight="1">
      <c r="A139" s="209" t="s">
        <v>121</v>
      </c>
      <c r="B139" s="7" t="s">
        <v>371</v>
      </c>
      <c r="C139" s="180"/>
      <c r="D139" s="265"/>
      <c r="E139" s="116"/>
    </row>
    <row r="140" spans="1:5" s="49" customFormat="1" ht="12" customHeight="1" thickBot="1">
      <c r="A140" s="218" t="s">
        <v>122</v>
      </c>
      <c r="B140" s="5" t="s">
        <v>372</v>
      </c>
      <c r="C140" s="180"/>
      <c r="D140" s="265"/>
      <c r="E140" s="116"/>
    </row>
    <row r="141" spans="1:5" ht="12" customHeight="1" thickBot="1">
      <c r="A141" s="24" t="s">
        <v>14</v>
      </c>
      <c r="B141" s="53" t="s">
        <v>436</v>
      </c>
      <c r="C141" s="185">
        <f>+C142+C143+C145+C146+C144</f>
        <v>379000</v>
      </c>
      <c r="D141" s="267">
        <f>+D142+D143+D145+D146+D144</f>
        <v>379000</v>
      </c>
      <c r="E141" s="221">
        <f>+E142+E143+E145+E146+E144</f>
        <v>0</v>
      </c>
    </row>
    <row r="142" spans="1:5" ht="12.75">
      <c r="A142" s="209" t="s">
        <v>63</v>
      </c>
      <c r="B142" s="7" t="s">
        <v>292</v>
      </c>
      <c r="C142" s="180"/>
      <c r="D142" s="265"/>
      <c r="E142" s="116"/>
    </row>
    <row r="143" spans="1:5" ht="12" customHeight="1">
      <c r="A143" s="209" t="s">
        <v>64</v>
      </c>
      <c r="B143" s="7" t="s">
        <v>293</v>
      </c>
      <c r="C143" s="180"/>
      <c r="D143" s="265"/>
      <c r="E143" s="116"/>
    </row>
    <row r="144" spans="1:5" ht="12" customHeight="1">
      <c r="A144" s="209" t="s">
        <v>209</v>
      </c>
      <c r="B144" s="7" t="s">
        <v>435</v>
      </c>
      <c r="C144" s="180">
        <v>379000</v>
      </c>
      <c r="D144" s="180">
        <v>379000</v>
      </c>
      <c r="E144" s="116">
        <v>0</v>
      </c>
    </row>
    <row r="145" spans="1:5" s="49" customFormat="1" ht="12" customHeight="1">
      <c r="A145" s="209" t="s">
        <v>210</v>
      </c>
      <c r="B145" s="7" t="s">
        <v>381</v>
      </c>
      <c r="C145" s="180"/>
      <c r="D145" s="265"/>
      <c r="E145" s="116"/>
    </row>
    <row r="146" spans="1:5" s="49" customFormat="1" ht="12" customHeight="1" thickBot="1">
      <c r="A146" s="218" t="s">
        <v>211</v>
      </c>
      <c r="B146" s="5" t="s">
        <v>311</v>
      </c>
      <c r="C146" s="180"/>
      <c r="D146" s="265"/>
      <c r="E146" s="116"/>
    </row>
    <row r="147" spans="1:5" s="49" customFormat="1" ht="12" customHeight="1" thickBot="1">
      <c r="A147" s="24" t="s">
        <v>15</v>
      </c>
      <c r="B147" s="53" t="s">
        <v>382</v>
      </c>
      <c r="C147" s="256">
        <f>+C148+C149+C150+C151+C152</f>
        <v>0</v>
      </c>
      <c r="D147" s="268">
        <f>+D148+D149+D150+D151+D152</f>
        <v>0</v>
      </c>
      <c r="E147" s="250">
        <f>+E148+E149+E150+E151+E152</f>
        <v>0</v>
      </c>
    </row>
    <row r="148" spans="1:5" s="49" customFormat="1" ht="12" customHeight="1">
      <c r="A148" s="209" t="s">
        <v>65</v>
      </c>
      <c r="B148" s="7" t="s">
        <v>377</v>
      </c>
      <c r="C148" s="180"/>
      <c r="D148" s="265"/>
      <c r="E148" s="116"/>
    </row>
    <row r="149" spans="1:5" s="49" customFormat="1" ht="12" customHeight="1">
      <c r="A149" s="209" t="s">
        <v>66</v>
      </c>
      <c r="B149" s="7" t="s">
        <v>384</v>
      </c>
      <c r="C149" s="180"/>
      <c r="D149" s="265"/>
      <c r="E149" s="116"/>
    </row>
    <row r="150" spans="1:5" s="49" customFormat="1" ht="12" customHeight="1">
      <c r="A150" s="209" t="s">
        <v>221</v>
      </c>
      <c r="B150" s="7" t="s">
        <v>379</v>
      </c>
      <c r="C150" s="180"/>
      <c r="D150" s="265"/>
      <c r="E150" s="116"/>
    </row>
    <row r="151" spans="1:5" s="49" customFormat="1" ht="12" customHeight="1">
      <c r="A151" s="209" t="s">
        <v>222</v>
      </c>
      <c r="B151" s="7" t="s">
        <v>424</v>
      </c>
      <c r="C151" s="180"/>
      <c r="D151" s="265"/>
      <c r="E151" s="116"/>
    </row>
    <row r="152" spans="1:5" ht="12.75" customHeight="1" thickBot="1">
      <c r="A152" s="218" t="s">
        <v>383</v>
      </c>
      <c r="B152" s="5" t="s">
        <v>386</v>
      </c>
      <c r="C152" s="182"/>
      <c r="D152" s="266"/>
      <c r="E152" s="118"/>
    </row>
    <row r="153" spans="1:5" ht="12.75" customHeight="1" thickBot="1">
      <c r="A153" s="245" t="s">
        <v>16</v>
      </c>
      <c r="B153" s="53" t="s">
        <v>387</v>
      </c>
      <c r="C153" s="256"/>
      <c r="D153" s="268"/>
      <c r="E153" s="250"/>
    </row>
    <row r="154" spans="1:5" ht="12.75" customHeight="1" thickBot="1">
      <c r="A154" s="245" t="s">
        <v>17</v>
      </c>
      <c r="B154" s="53" t="s">
        <v>388</v>
      </c>
      <c r="C154" s="256"/>
      <c r="D154" s="268"/>
      <c r="E154" s="250"/>
    </row>
    <row r="155" spans="1:5" ht="12" customHeight="1" thickBot="1">
      <c r="A155" s="24" t="s">
        <v>18</v>
      </c>
      <c r="B155" s="53" t="s">
        <v>390</v>
      </c>
      <c r="C155" s="258">
        <f>+C130+C134+C141+C147+C153+C154</f>
        <v>379000</v>
      </c>
      <c r="D155" s="270">
        <f>+D130+D134+D141+D147+D153+D154</f>
        <v>379000</v>
      </c>
      <c r="E155" s="252">
        <f>+E130+E134+E141+E147+E153+E154</f>
        <v>0</v>
      </c>
    </row>
    <row r="156" spans="1:5" ht="15" customHeight="1" thickBot="1">
      <c r="A156" s="220" t="s">
        <v>19</v>
      </c>
      <c r="B156" s="166" t="s">
        <v>389</v>
      </c>
      <c r="C156" s="258">
        <f>+C129+C155</f>
        <v>4238725</v>
      </c>
      <c r="D156" s="270">
        <f>+D129+D155</f>
        <v>4118725</v>
      </c>
      <c r="E156" s="252">
        <f>+E129+E155</f>
        <v>980000</v>
      </c>
    </row>
    <row r="157" spans="1:5" ht="13.5" thickBot="1">
      <c r="A157" s="169"/>
      <c r="B157" s="170"/>
      <c r="C157" s="447">
        <f>C91-C156</f>
        <v>12819184</v>
      </c>
      <c r="D157" s="447">
        <f>D91-D156</f>
        <v>12939184</v>
      </c>
      <c r="E157" s="171"/>
    </row>
    <row r="158" spans="1:5" ht="15" customHeight="1" thickBot="1">
      <c r="A158" s="340" t="s">
        <v>507</v>
      </c>
      <c r="B158" s="341"/>
      <c r="C158" s="329">
        <v>0</v>
      </c>
      <c r="D158" s="329">
        <v>0</v>
      </c>
      <c r="E158" s="328">
        <v>0</v>
      </c>
    </row>
    <row r="159" spans="1:5" ht="14.25" customHeight="1" thickBot="1">
      <c r="A159" s="342" t="s">
        <v>508</v>
      </c>
      <c r="B159" s="343"/>
      <c r="C159" s="329">
        <v>0</v>
      </c>
      <c r="D159" s="329">
        <v>0</v>
      </c>
      <c r="E159" s="328">
        <v>0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100" workbookViewId="0" topLeftCell="A1">
      <selection activeCell="B2" sqref="B2:D2"/>
    </sheetView>
  </sheetViews>
  <sheetFormatPr defaultColWidth="9.375" defaultRowHeight="12.75"/>
  <cols>
    <col min="1" max="1" width="16.125" style="172" customWidth="1"/>
    <col min="2" max="2" width="62.00390625" style="173" customWidth="1"/>
    <col min="3" max="3" width="14.125" style="174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92"/>
      <c r="B1" s="604" t="str">
        <f>CONCATENATE("13. melléklet ",IB_ALAPADATOK!B7," ",IB_ALAPADATOK!C7," ",IB_ALAPADATOK!D7," ",IB_ALAPADATOK!E7)</f>
        <v>13. melléklet a 2022 I. félévi költségvetési tájékoztatóhoz</v>
      </c>
      <c r="C1" s="605"/>
      <c r="D1" s="605"/>
      <c r="E1" s="605"/>
    </row>
    <row r="2" spans="1:5" s="45" customFormat="1" ht="21" customHeight="1" thickBot="1">
      <c r="A2" s="401" t="s">
        <v>48</v>
      </c>
      <c r="B2" s="603" t="str">
        <f>CONCATENATE(IB_ALAPADATOK!B3)</f>
        <v>Balatonvilágos Község Önkormányzata</v>
      </c>
      <c r="C2" s="603"/>
      <c r="D2" s="603"/>
      <c r="E2" s="402" t="s">
        <v>42</v>
      </c>
    </row>
    <row r="3" spans="1:5" s="45" customFormat="1" ht="23.25" thickBot="1">
      <c r="A3" s="401" t="s">
        <v>141</v>
      </c>
      <c r="B3" s="603" t="s">
        <v>434</v>
      </c>
      <c r="C3" s="603"/>
      <c r="D3" s="603"/>
      <c r="E3" s="403" t="s">
        <v>46</v>
      </c>
    </row>
    <row r="4" spans="1:5" s="46" customFormat="1" ht="15.75" customHeight="1" thickBot="1">
      <c r="A4" s="395"/>
      <c r="B4" s="395"/>
      <c r="C4" s="396"/>
      <c r="D4" s="397"/>
      <c r="E4" s="396" t="str">
        <f>'12.sz.mell.'!E4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41" customFormat="1" ht="12.75" customHeight="1" thickBot="1">
      <c r="A6" s="78" t="s">
        <v>404</v>
      </c>
      <c r="B6" s="79" t="s">
        <v>405</v>
      </c>
      <c r="C6" s="79" t="s">
        <v>406</v>
      </c>
      <c r="D6" s="323" t="s">
        <v>408</v>
      </c>
      <c r="E6" s="80" t="s">
        <v>407</v>
      </c>
    </row>
    <row r="7" spans="1:5" s="41" customFormat="1" ht="15.75" customHeight="1" thickBot="1">
      <c r="A7" s="600" t="s">
        <v>43</v>
      </c>
      <c r="B7" s="601"/>
      <c r="C7" s="601"/>
      <c r="D7" s="601"/>
      <c r="E7" s="602"/>
    </row>
    <row r="8" spans="1:5" s="41" customFormat="1" ht="12" customHeight="1" thickBot="1">
      <c r="A8" s="24" t="s">
        <v>9</v>
      </c>
      <c r="B8" s="19" t="s">
        <v>174</v>
      </c>
      <c r="C8" s="179">
        <f>+C9+C10+C11+C12+C13+C14</f>
        <v>0</v>
      </c>
      <c r="D8" s="263">
        <f>+D9+D10+D11+D12+D13+D14</f>
        <v>0</v>
      </c>
      <c r="E8" s="115">
        <f>+E9+E10+E11+E12+E13+E14</f>
        <v>0</v>
      </c>
    </row>
    <row r="9" spans="1:5" s="47" customFormat="1" ht="12" customHeight="1">
      <c r="A9" s="209" t="s">
        <v>67</v>
      </c>
      <c r="B9" s="192" t="s">
        <v>175</v>
      </c>
      <c r="C9" s="181"/>
      <c r="D9" s="264"/>
      <c r="E9" s="117"/>
    </row>
    <row r="10" spans="1:5" s="48" customFormat="1" ht="12" customHeight="1">
      <c r="A10" s="210" t="s">
        <v>68</v>
      </c>
      <c r="B10" s="193" t="s">
        <v>176</v>
      </c>
      <c r="C10" s="180"/>
      <c r="D10" s="265"/>
      <c r="E10" s="116"/>
    </row>
    <row r="11" spans="1:5" s="48" customFormat="1" ht="12" customHeight="1">
      <c r="A11" s="210" t="s">
        <v>69</v>
      </c>
      <c r="B11" s="193" t="s">
        <v>177</v>
      </c>
      <c r="C11" s="180"/>
      <c r="D11" s="265"/>
      <c r="E11" s="116"/>
    </row>
    <row r="12" spans="1:5" s="48" customFormat="1" ht="12" customHeight="1">
      <c r="A12" s="210" t="s">
        <v>70</v>
      </c>
      <c r="B12" s="193" t="s">
        <v>178</v>
      </c>
      <c r="C12" s="180"/>
      <c r="D12" s="265"/>
      <c r="E12" s="116"/>
    </row>
    <row r="13" spans="1:5" s="48" customFormat="1" ht="12" customHeight="1">
      <c r="A13" s="210" t="s">
        <v>102</v>
      </c>
      <c r="B13" s="193" t="s">
        <v>412</v>
      </c>
      <c r="C13" s="180"/>
      <c r="D13" s="265"/>
      <c r="E13" s="116"/>
    </row>
    <row r="14" spans="1:5" s="47" customFormat="1" ht="12" customHeight="1" thickBot="1">
      <c r="A14" s="211" t="s">
        <v>71</v>
      </c>
      <c r="B14" s="194" t="s">
        <v>350</v>
      </c>
      <c r="C14" s="180"/>
      <c r="D14" s="265"/>
      <c r="E14" s="116"/>
    </row>
    <row r="15" spans="1:5" s="47" customFormat="1" ht="12" customHeight="1" thickBot="1">
      <c r="A15" s="24" t="s">
        <v>10</v>
      </c>
      <c r="B15" s="122" t="s">
        <v>179</v>
      </c>
      <c r="C15" s="179">
        <f>+C16+C17+C18+C19+C20</f>
        <v>0</v>
      </c>
      <c r="D15" s="263">
        <f>+D16+D17+D18+D19+D20</f>
        <v>0</v>
      </c>
      <c r="E15" s="115">
        <f>+E16+E17+E18+E19+E20</f>
        <v>0</v>
      </c>
    </row>
    <row r="16" spans="1:5" s="47" customFormat="1" ht="12" customHeight="1">
      <c r="A16" s="209" t="s">
        <v>73</v>
      </c>
      <c r="B16" s="192" t="s">
        <v>180</v>
      </c>
      <c r="C16" s="181"/>
      <c r="D16" s="264"/>
      <c r="E16" s="117"/>
    </row>
    <row r="17" spans="1:5" s="47" customFormat="1" ht="12" customHeight="1">
      <c r="A17" s="210" t="s">
        <v>74</v>
      </c>
      <c r="B17" s="193" t="s">
        <v>181</v>
      </c>
      <c r="C17" s="180"/>
      <c r="D17" s="265"/>
      <c r="E17" s="116"/>
    </row>
    <row r="18" spans="1:5" s="47" customFormat="1" ht="12" customHeight="1">
      <c r="A18" s="210" t="s">
        <v>75</v>
      </c>
      <c r="B18" s="193" t="s">
        <v>341</v>
      </c>
      <c r="C18" s="180"/>
      <c r="D18" s="265"/>
      <c r="E18" s="116"/>
    </row>
    <row r="19" spans="1:5" s="47" customFormat="1" ht="12" customHeight="1">
      <c r="A19" s="210" t="s">
        <v>76</v>
      </c>
      <c r="B19" s="193" t="s">
        <v>342</v>
      </c>
      <c r="C19" s="180"/>
      <c r="D19" s="265"/>
      <c r="E19" s="116"/>
    </row>
    <row r="20" spans="1:5" s="47" customFormat="1" ht="12" customHeight="1">
      <c r="A20" s="210" t="s">
        <v>77</v>
      </c>
      <c r="B20" s="193" t="s">
        <v>182</v>
      </c>
      <c r="C20" s="180"/>
      <c r="D20" s="265"/>
      <c r="E20" s="116"/>
    </row>
    <row r="21" spans="1:5" s="48" customFormat="1" ht="12" customHeight="1" thickBot="1">
      <c r="A21" s="211" t="s">
        <v>84</v>
      </c>
      <c r="B21" s="194" t="s">
        <v>183</v>
      </c>
      <c r="C21" s="182"/>
      <c r="D21" s="266"/>
      <c r="E21" s="118"/>
    </row>
    <row r="22" spans="1:5" s="48" customFormat="1" ht="12" customHeight="1" thickBot="1">
      <c r="A22" s="24" t="s">
        <v>11</v>
      </c>
      <c r="B22" s="19" t="s">
        <v>184</v>
      </c>
      <c r="C22" s="179">
        <f>+C23+C24+C25+C26+C27</f>
        <v>0</v>
      </c>
      <c r="D22" s="263">
        <f>+D23+D24+D25+D26+D27</f>
        <v>0</v>
      </c>
      <c r="E22" s="115">
        <f>+E23+E24+E25+E26+E27</f>
        <v>0</v>
      </c>
    </row>
    <row r="23" spans="1:5" s="48" customFormat="1" ht="12" customHeight="1">
      <c r="A23" s="209" t="s">
        <v>56</v>
      </c>
      <c r="B23" s="192" t="s">
        <v>185</v>
      </c>
      <c r="C23" s="181"/>
      <c r="D23" s="264"/>
      <c r="E23" s="117"/>
    </row>
    <row r="24" spans="1:5" s="47" customFormat="1" ht="12" customHeight="1">
      <c r="A24" s="210" t="s">
        <v>57</v>
      </c>
      <c r="B24" s="193" t="s">
        <v>186</v>
      </c>
      <c r="C24" s="180"/>
      <c r="D24" s="265"/>
      <c r="E24" s="116"/>
    </row>
    <row r="25" spans="1:5" s="48" customFormat="1" ht="12" customHeight="1">
      <c r="A25" s="210" t="s">
        <v>58</v>
      </c>
      <c r="B25" s="193" t="s">
        <v>343</v>
      </c>
      <c r="C25" s="180"/>
      <c r="D25" s="265"/>
      <c r="E25" s="116"/>
    </row>
    <row r="26" spans="1:5" s="48" customFormat="1" ht="12" customHeight="1">
      <c r="A26" s="210" t="s">
        <v>59</v>
      </c>
      <c r="B26" s="193" t="s">
        <v>344</v>
      </c>
      <c r="C26" s="180"/>
      <c r="D26" s="265"/>
      <c r="E26" s="116"/>
    </row>
    <row r="27" spans="1:5" s="48" customFormat="1" ht="12" customHeight="1">
      <c r="A27" s="210" t="s">
        <v>116</v>
      </c>
      <c r="B27" s="193" t="s">
        <v>187</v>
      </c>
      <c r="C27" s="180"/>
      <c r="D27" s="265"/>
      <c r="E27" s="116"/>
    </row>
    <row r="28" spans="1:5" s="48" customFormat="1" ht="12" customHeight="1" thickBot="1">
      <c r="A28" s="211" t="s">
        <v>117</v>
      </c>
      <c r="B28" s="194" t="s">
        <v>188</v>
      </c>
      <c r="C28" s="182"/>
      <c r="D28" s="266"/>
      <c r="E28" s="118"/>
    </row>
    <row r="29" spans="1:5" s="48" customFormat="1" ht="12" customHeight="1" thickBot="1">
      <c r="A29" s="24" t="s">
        <v>118</v>
      </c>
      <c r="B29" s="19" t="s">
        <v>497</v>
      </c>
      <c r="C29" s="185">
        <f>SUM(C30:C36)</f>
        <v>0</v>
      </c>
      <c r="D29" s="185">
        <f>SUM(D30:D36)</f>
        <v>0</v>
      </c>
      <c r="E29" s="221">
        <f>SUM(E30:E36)</f>
        <v>0</v>
      </c>
    </row>
    <row r="30" spans="1:5" s="48" customFormat="1" ht="12" customHeight="1">
      <c r="A30" s="209" t="s">
        <v>189</v>
      </c>
      <c r="B30" s="192" t="s">
        <v>498</v>
      </c>
      <c r="C30" s="181">
        <f>+C31+C32+C33</f>
        <v>0</v>
      </c>
      <c r="D30" s="181">
        <f>+D31+D32+D33</f>
        <v>0</v>
      </c>
      <c r="E30" s="117">
        <f>+E31+E32+E33</f>
        <v>0</v>
      </c>
    </row>
    <row r="31" spans="1:5" s="48" customFormat="1" ht="12" customHeight="1">
      <c r="A31" s="210" t="s">
        <v>190</v>
      </c>
      <c r="B31" s="193" t="s">
        <v>499</v>
      </c>
      <c r="C31" s="180"/>
      <c r="D31" s="180"/>
      <c r="E31" s="116"/>
    </row>
    <row r="32" spans="1:5" s="48" customFormat="1" ht="12" customHeight="1">
      <c r="A32" s="210" t="s">
        <v>191</v>
      </c>
      <c r="B32" s="193" t="s">
        <v>500</v>
      </c>
      <c r="C32" s="180"/>
      <c r="D32" s="180"/>
      <c r="E32" s="116"/>
    </row>
    <row r="33" spans="1:5" s="48" customFormat="1" ht="12" customHeight="1">
      <c r="A33" s="210" t="s">
        <v>192</v>
      </c>
      <c r="B33" s="193" t="s">
        <v>501</v>
      </c>
      <c r="C33" s="180"/>
      <c r="D33" s="180"/>
      <c r="E33" s="116"/>
    </row>
    <row r="34" spans="1:5" s="48" customFormat="1" ht="12" customHeight="1">
      <c r="A34" s="210" t="s">
        <v>502</v>
      </c>
      <c r="B34" s="193" t="s">
        <v>193</v>
      </c>
      <c r="C34" s="180"/>
      <c r="D34" s="180"/>
      <c r="E34" s="116"/>
    </row>
    <row r="35" spans="1:5" s="48" customFormat="1" ht="12" customHeight="1">
      <c r="A35" s="210" t="s">
        <v>503</v>
      </c>
      <c r="B35" s="193" t="s">
        <v>194</v>
      </c>
      <c r="C35" s="180"/>
      <c r="D35" s="180"/>
      <c r="E35" s="116"/>
    </row>
    <row r="36" spans="1:5" s="48" customFormat="1" ht="12" customHeight="1" thickBot="1">
      <c r="A36" s="211" t="s">
        <v>504</v>
      </c>
      <c r="B36" s="339" t="s">
        <v>195</v>
      </c>
      <c r="C36" s="182"/>
      <c r="D36" s="182"/>
      <c r="E36" s="118"/>
    </row>
    <row r="37" spans="1:5" s="48" customFormat="1" ht="12" customHeight="1" thickBot="1">
      <c r="A37" s="24" t="s">
        <v>13</v>
      </c>
      <c r="B37" s="19" t="s">
        <v>351</v>
      </c>
      <c r="C37" s="179">
        <f>SUM(C38:C48)</f>
        <v>0</v>
      </c>
      <c r="D37" s="263">
        <f>SUM(D38:D48)</f>
        <v>0</v>
      </c>
      <c r="E37" s="115">
        <f>SUM(E38:E48)</f>
        <v>0</v>
      </c>
    </row>
    <row r="38" spans="1:5" s="48" customFormat="1" ht="12" customHeight="1">
      <c r="A38" s="209" t="s">
        <v>60</v>
      </c>
      <c r="B38" s="192" t="s">
        <v>198</v>
      </c>
      <c r="C38" s="181"/>
      <c r="D38" s="264"/>
      <c r="E38" s="117"/>
    </row>
    <row r="39" spans="1:5" s="48" customFormat="1" ht="12" customHeight="1">
      <c r="A39" s="210" t="s">
        <v>61</v>
      </c>
      <c r="B39" s="193" t="s">
        <v>199</v>
      </c>
      <c r="C39" s="180"/>
      <c r="D39" s="265"/>
      <c r="E39" s="116"/>
    </row>
    <row r="40" spans="1:5" s="48" customFormat="1" ht="12" customHeight="1">
      <c r="A40" s="210" t="s">
        <v>62</v>
      </c>
      <c r="B40" s="193" t="s">
        <v>200</v>
      </c>
      <c r="C40" s="180"/>
      <c r="D40" s="265"/>
      <c r="E40" s="116"/>
    </row>
    <row r="41" spans="1:5" s="48" customFormat="1" ht="12" customHeight="1">
      <c r="A41" s="210" t="s">
        <v>120</v>
      </c>
      <c r="B41" s="193" t="s">
        <v>201</v>
      </c>
      <c r="C41" s="180"/>
      <c r="D41" s="265"/>
      <c r="E41" s="116"/>
    </row>
    <row r="42" spans="1:5" s="48" customFormat="1" ht="12" customHeight="1">
      <c r="A42" s="210" t="s">
        <v>121</v>
      </c>
      <c r="B42" s="193" t="s">
        <v>202</v>
      </c>
      <c r="C42" s="180"/>
      <c r="D42" s="265"/>
      <c r="E42" s="116"/>
    </row>
    <row r="43" spans="1:5" s="48" customFormat="1" ht="12" customHeight="1">
      <c r="A43" s="210" t="s">
        <v>122</v>
      </c>
      <c r="B43" s="193" t="s">
        <v>203</v>
      </c>
      <c r="C43" s="180"/>
      <c r="D43" s="265"/>
      <c r="E43" s="116"/>
    </row>
    <row r="44" spans="1:5" s="48" customFormat="1" ht="12" customHeight="1">
      <c r="A44" s="210" t="s">
        <v>123</v>
      </c>
      <c r="B44" s="193" t="s">
        <v>204</v>
      </c>
      <c r="C44" s="180"/>
      <c r="D44" s="265"/>
      <c r="E44" s="116"/>
    </row>
    <row r="45" spans="1:5" s="48" customFormat="1" ht="12" customHeight="1">
      <c r="A45" s="210" t="s">
        <v>124</v>
      </c>
      <c r="B45" s="193" t="s">
        <v>505</v>
      </c>
      <c r="C45" s="180"/>
      <c r="D45" s="265"/>
      <c r="E45" s="116"/>
    </row>
    <row r="46" spans="1:5" s="48" customFormat="1" ht="12" customHeight="1">
      <c r="A46" s="210" t="s">
        <v>196</v>
      </c>
      <c r="B46" s="193" t="s">
        <v>206</v>
      </c>
      <c r="C46" s="183"/>
      <c r="D46" s="324"/>
      <c r="E46" s="119"/>
    </row>
    <row r="47" spans="1:5" s="48" customFormat="1" ht="12" customHeight="1">
      <c r="A47" s="211" t="s">
        <v>197</v>
      </c>
      <c r="B47" s="194" t="s">
        <v>353</v>
      </c>
      <c r="C47" s="184"/>
      <c r="D47" s="325"/>
      <c r="E47" s="120"/>
    </row>
    <row r="48" spans="1:5" s="48" customFormat="1" ht="12" customHeight="1" thickBot="1">
      <c r="A48" s="211" t="s">
        <v>352</v>
      </c>
      <c r="B48" s="194" t="s">
        <v>207</v>
      </c>
      <c r="C48" s="184"/>
      <c r="D48" s="325"/>
      <c r="E48" s="120"/>
    </row>
    <row r="49" spans="1:5" s="48" customFormat="1" ht="12" customHeight="1" thickBot="1">
      <c r="A49" s="24" t="s">
        <v>14</v>
      </c>
      <c r="B49" s="19" t="s">
        <v>208</v>
      </c>
      <c r="C49" s="179">
        <f>SUM(C50:C54)</f>
        <v>0</v>
      </c>
      <c r="D49" s="263">
        <f>SUM(D50:D54)</f>
        <v>0</v>
      </c>
      <c r="E49" s="115">
        <f>SUM(E50:E54)</f>
        <v>0</v>
      </c>
    </row>
    <row r="50" spans="1:5" s="48" customFormat="1" ht="12" customHeight="1">
      <c r="A50" s="209" t="s">
        <v>63</v>
      </c>
      <c r="B50" s="192" t="s">
        <v>212</v>
      </c>
      <c r="C50" s="232"/>
      <c r="D50" s="326"/>
      <c r="E50" s="121"/>
    </row>
    <row r="51" spans="1:5" s="48" customFormat="1" ht="12" customHeight="1">
      <c r="A51" s="210" t="s">
        <v>64</v>
      </c>
      <c r="B51" s="193" t="s">
        <v>213</v>
      </c>
      <c r="C51" s="183"/>
      <c r="D51" s="324"/>
      <c r="E51" s="119"/>
    </row>
    <row r="52" spans="1:5" s="48" customFormat="1" ht="12" customHeight="1">
      <c r="A52" s="210" t="s">
        <v>209</v>
      </c>
      <c r="B52" s="193" t="s">
        <v>214</v>
      </c>
      <c r="C52" s="183"/>
      <c r="D52" s="324"/>
      <c r="E52" s="119"/>
    </row>
    <row r="53" spans="1:5" s="48" customFormat="1" ht="12" customHeight="1">
      <c r="A53" s="210" t="s">
        <v>210</v>
      </c>
      <c r="B53" s="193" t="s">
        <v>215</v>
      </c>
      <c r="C53" s="183"/>
      <c r="D53" s="324"/>
      <c r="E53" s="119"/>
    </row>
    <row r="54" spans="1:5" s="48" customFormat="1" ht="12" customHeight="1" thickBot="1">
      <c r="A54" s="211" t="s">
        <v>211</v>
      </c>
      <c r="B54" s="194" t="s">
        <v>216</v>
      </c>
      <c r="C54" s="184"/>
      <c r="D54" s="325"/>
      <c r="E54" s="120"/>
    </row>
    <row r="55" spans="1:5" s="48" customFormat="1" ht="12" customHeight="1" thickBot="1">
      <c r="A55" s="24" t="s">
        <v>125</v>
      </c>
      <c r="B55" s="19" t="s">
        <v>217</v>
      </c>
      <c r="C55" s="179">
        <f>SUM(C56:C58)</f>
        <v>0</v>
      </c>
      <c r="D55" s="263">
        <f>SUM(D56:D58)</f>
        <v>0</v>
      </c>
      <c r="E55" s="115">
        <f>SUM(E56:E58)</f>
        <v>0</v>
      </c>
    </row>
    <row r="56" spans="1:5" s="48" customFormat="1" ht="12" customHeight="1">
      <c r="A56" s="209" t="s">
        <v>65</v>
      </c>
      <c r="B56" s="192" t="s">
        <v>218</v>
      </c>
      <c r="C56" s="181"/>
      <c r="D56" s="264"/>
      <c r="E56" s="117"/>
    </row>
    <row r="57" spans="1:5" s="48" customFormat="1" ht="12" customHeight="1">
      <c r="A57" s="210" t="s">
        <v>66</v>
      </c>
      <c r="B57" s="193" t="s">
        <v>345</v>
      </c>
      <c r="C57" s="180"/>
      <c r="D57" s="265"/>
      <c r="E57" s="116"/>
    </row>
    <row r="58" spans="1:5" s="48" customFormat="1" ht="12" customHeight="1">
      <c r="A58" s="210" t="s">
        <v>221</v>
      </c>
      <c r="B58" s="193" t="s">
        <v>219</v>
      </c>
      <c r="C58" s="180"/>
      <c r="D58" s="265"/>
      <c r="E58" s="116"/>
    </row>
    <row r="59" spans="1:5" s="48" customFormat="1" ht="12" customHeight="1" thickBot="1">
      <c r="A59" s="211" t="s">
        <v>222</v>
      </c>
      <c r="B59" s="194" t="s">
        <v>220</v>
      </c>
      <c r="C59" s="182"/>
      <c r="D59" s="266"/>
      <c r="E59" s="118"/>
    </row>
    <row r="60" spans="1:5" s="48" customFormat="1" ht="12" customHeight="1" thickBot="1">
      <c r="A60" s="24" t="s">
        <v>16</v>
      </c>
      <c r="B60" s="122" t="s">
        <v>223</v>
      </c>
      <c r="C60" s="179">
        <f>SUM(C61:C63)</f>
        <v>0</v>
      </c>
      <c r="D60" s="263">
        <f>SUM(D61:D63)</f>
        <v>0</v>
      </c>
      <c r="E60" s="115">
        <f>SUM(E61:E63)</f>
        <v>0</v>
      </c>
    </row>
    <row r="61" spans="1:5" s="48" customFormat="1" ht="12" customHeight="1">
      <c r="A61" s="209" t="s">
        <v>126</v>
      </c>
      <c r="B61" s="192" t="s">
        <v>225</v>
      </c>
      <c r="C61" s="183"/>
      <c r="D61" s="324"/>
      <c r="E61" s="119"/>
    </row>
    <row r="62" spans="1:5" s="48" customFormat="1" ht="12" customHeight="1">
      <c r="A62" s="210" t="s">
        <v>127</v>
      </c>
      <c r="B62" s="193" t="s">
        <v>346</v>
      </c>
      <c r="C62" s="183"/>
      <c r="D62" s="324"/>
      <c r="E62" s="119"/>
    </row>
    <row r="63" spans="1:5" s="48" customFormat="1" ht="12" customHeight="1">
      <c r="A63" s="210" t="s">
        <v>157</v>
      </c>
      <c r="B63" s="193" t="s">
        <v>226</v>
      </c>
      <c r="C63" s="183"/>
      <c r="D63" s="324"/>
      <c r="E63" s="119"/>
    </row>
    <row r="64" spans="1:5" s="48" customFormat="1" ht="12" customHeight="1" thickBot="1">
      <c r="A64" s="211" t="s">
        <v>224</v>
      </c>
      <c r="B64" s="194" t="s">
        <v>227</v>
      </c>
      <c r="C64" s="183"/>
      <c r="D64" s="324"/>
      <c r="E64" s="119"/>
    </row>
    <row r="65" spans="1:5" s="48" customFormat="1" ht="12" customHeight="1" thickBot="1">
      <c r="A65" s="24" t="s">
        <v>17</v>
      </c>
      <c r="B65" s="19" t="s">
        <v>228</v>
      </c>
      <c r="C65" s="185">
        <f>+C8+C15+C22+C29+C37+C49+C55+C60</f>
        <v>0</v>
      </c>
      <c r="D65" s="267">
        <f>+D8+D15+D22+D29+D37+D49+D55+D60</f>
        <v>0</v>
      </c>
      <c r="E65" s="221">
        <f>+E8+E15+E22+E29+E37+E49+E55+E60</f>
        <v>0</v>
      </c>
    </row>
    <row r="66" spans="1:5" s="48" customFormat="1" ht="12" customHeight="1" thickBot="1">
      <c r="A66" s="212" t="s">
        <v>315</v>
      </c>
      <c r="B66" s="122" t="s">
        <v>230</v>
      </c>
      <c r="C66" s="179">
        <f>SUM(C67:C69)</f>
        <v>0</v>
      </c>
      <c r="D66" s="263">
        <f>SUM(D67:D69)</f>
        <v>0</v>
      </c>
      <c r="E66" s="115">
        <f>SUM(E67:E69)</f>
        <v>0</v>
      </c>
    </row>
    <row r="67" spans="1:5" s="48" customFormat="1" ht="12" customHeight="1">
      <c r="A67" s="209" t="s">
        <v>258</v>
      </c>
      <c r="B67" s="192" t="s">
        <v>231</v>
      </c>
      <c r="C67" s="183"/>
      <c r="D67" s="324"/>
      <c r="E67" s="119"/>
    </row>
    <row r="68" spans="1:5" s="48" customFormat="1" ht="12" customHeight="1">
      <c r="A68" s="210" t="s">
        <v>267</v>
      </c>
      <c r="B68" s="193" t="s">
        <v>232</v>
      </c>
      <c r="C68" s="183"/>
      <c r="D68" s="324"/>
      <c r="E68" s="119"/>
    </row>
    <row r="69" spans="1:5" s="48" customFormat="1" ht="12" customHeight="1" thickBot="1">
      <c r="A69" s="211" t="s">
        <v>268</v>
      </c>
      <c r="B69" s="195" t="s">
        <v>233</v>
      </c>
      <c r="C69" s="183"/>
      <c r="D69" s="327"/>
      <c r="E69" s="119"/>
    </row>
    <row r="70" spans="1:5" s="48" customFormat="1" ht="12" customHeight="1" thickBot="1">
      <c r="A70" s="212" t="s">
        <v>234</v>
      </c>
      <c r="B70" s="122" t="s">
        <v>235</v>
      </c>
      <c r="C70" s="179">
        <f>SUM(C71:C74)</f>
        <v>0</v>
      </c>
      <c r="D70" s="179">
        <f>SUM(D71:D74)</f>
        <v>0</v>
      </c>
      <c r="E70" s="115">
        <f>SUM(E71:E74)</f>
        <v>0</v>
      </c>
    </row>
    <row r="71" spans="1:5" s="48" customFormat="1" ht="12" customHeight="1">
      <c r="A71" s="209" t="s">
        <v>103</v>
      </c>
      <c r="B71" s="372" t="s">
        <v>236</v>
      </c>
      <c r="C71" s="183"/>
      <c r="D71" s="183"/>
      <c r="E71" s="119"/>
    </row>
    <row r="72" spans="1:5" s="48" customFormat="1" ht="12" customHeight="1">
      <c r="A72" s="210" t="s">
        <v>104</v>
      </c>
      <c r="B72" s="372" t="s">
        <v>512</v>
      </c>
      <c r="C72" s="183"/>
      <c r="D72" s="183"/>
      <c r="E72" s="119"/>
    </row>
    <row r="73" spans="1:5" s="48" customFormat="1" ht="12" customHeight="1">
      <c r="A73" s="210" t="s">
        <v>259</v>
      </c>
      <c r="B73" s="372" t="s">
        <v>237</v>
      </c>
      <c r="C73" s="183"/>
      <c r="D73" s="183"/>
      <c r="E73" s="119"/>
    </row>
    <row r="74" spans="1:5" s="48" customFormat="1" ht="12" customHeight="1" thickBot="1">
      <c r="A74" s="211" t="s">
        <v>260</v>
      </c>
      <c r="B74" s="373" t="s">
        <v>513</v>
      </c>
      <c r="C74" s="183"/>
      <c r="D74" s="183"/>
      <c r="E74" s="119"/>
    </row>
    <row r="75" spans="1:5" s="48" customFormat="1" ht="12" customHeight="1" thickBot="1">
      <c r="A75" s="212" t="s">
        <v>238</v>
      </c>
      <c r="B75" s="122" t="s">
        <v>239</v>
      </c>
      <c r="C75" s="179">
        <f>SUM(C76:C77)</f>
        <v>0</v>
      </c>
      <c r="D75" s="179">
        <f>SUM(D76:D77)</f>
        <v>0</v>
      </c>
      <c r="E75" s="115">
        <f>SUM(E76:E77)</f>
        <v>0</v>
      </c>
    </row>
    <row r="76" spans="1:5" s="48" customFormat="1" ht="12" customHeight="1">
      <c r="A76" s="209" t="s">
        <v>261</v>
      </c>
      <c r="B76" s="192" t="s">
        <v>240</v>
      </c>
      <c r="C76" s="183"/>
      <c r="D76" s="183"/>
      <c r="E76" s="119"/>
    </row>
    <row r="77" spans="1:5" s="48" customFormat="1" ht="12" customHeight="1" thickBot="1">
      <c r="A77" s="211" t="s">
        <v>262</v>
      </c>
      <c r="B77" s="194" t="s">
        <v>241</v>
      </c>
      <c r="C77" s="183"/>
      <c r="D77" s="183"/>
      <c r="E77" s="119"/>
    </row>
    <row r="78" spans="1:5" s="47" customFormat="1" ht="12" customHeight="1" thickBot="1">
      <c r="A78" s="212" t="s">
        <v>242</v>
      </c>
      <c r="B78" s="122" t="s">
        <v>243</v>
      </c>
      <c r="C78" s="179">
        <f>SUM(C79:C81)</f>
        <v>0</v>
      </c>
      <c r="D78" s="179">
        <f>SUM(D79:D81)</f>
        <v>0</v>
      </c>
      <c r="E78" s="115">
        <f>SUM(E79:E81)</f>
        <v>0</v>
      </c>
    </row>
    <row r="79" spans="1:5" s="48" customFormat="1" ht="12" customHeight="1">
      <c r="A79" s="209" t="s">
        <v>263</v>
      </c>
      <c r="B79" s="192" t="s">
        <v>244</v>
      </c>
      <c r="C79" s="183"/>
      <c r="D79" s="183"/>
      <c r="E79" s="119"/>
    </row>
    <row r="80" spans="1:5" s="48" customFormat="1" ht="12" customHeight="1">
      <c r="A80" s="210" t="s">
        <v>264</v>
      </c>
      <c r="B80" s="193" t="s">
        <v>245</v>
      </c>
      <c r="C80" s="183"/>
      <c r="D80" s="183"/>
      <c r="E80" s="119"/>
    </row>
    <row r="81" spans="1:5" s="48" customFormat="1" ht="12" customHeight="1" thickBot="1">
      <c r="A81" s="211" t="s">
        <v>265</v>
      </c>
      <c r="B81" s="194" t="s">
        <v>514</v>
      </c>
      <c r="C81" s="183"/>
      <c r="D81" s="183"/>
      <c r="E81" s="119"/>
    </row>
    <row r="82" spans="1:5" s="48" customFormat="1" ht="12" customHeight="1" thickBot="1">
      <c r="A82" s="212" t="s">
        <v>246</v>
      </c>
      <c r="B82" s="122" t="s">
        <v>266</v>
      </c>
      <c r="C82" s="179">
        <f>SUM(C83:C86)</f>
        <v>0</v>
      </c>
      <c r="D82" s="179">
        <f>SUM(D83:D86)</f>
        <v>0</v>
      </c>
      <c r="E82" s="115">
        <f>SUM(E83:E86)</f>
        <v>0</v>
      </c>
    </row>
    <row r="83" spans="1:5" s="48" customFormat="1" ht="12" customHeight="1">
      <c r="A83" s="213" t="s">
        <v>247</v>
      </c>
      <c r="B83" s="192" t="s">
        <v>248</v>
      </c>
      <c r="C83" s="183"/>
      <c r="D83" s="183"/>
      <c r="E83" s="119"/>
    </row>
    <row r="84" spans="1:5" s="48" customFormat="1" ht="12" customHeight="1">
      <c r="A84" s="214" t="s">
        <v>249</v>
      </c>
      <c r="B84" s="193" t="s">
        <v>250</v>
      </c>
      <c r="C84" s="183"/>
      <c r="D84" s="183"/>
      <c r="E84" s="119"/>
    </row>
    <row r="85" spans="1:5" s="48" customFormat="1" ht="12" customHeight="1">
      <c r="A85" s="214" t="s">
        <v>251</v>
      </c>
      <c r="B85" s="193" t="s">
        <v>252</v>
      </c>
      <c r="C85" s="183"/>
      <c r="D85" s="183"/>
      <c r="E85" s="119"/>
    </row>
    <row r="86" spans="1:5" s="47" customFormat="1" ht="12" customHeight="1" thickBot="1">
      <c r="A86" s="215" t="s">
        <v>253</v>
      </c>
      <c r="B86" s="194" t="s">
        <v>254</v>
      </c>
      <c r="C86" s="183"/>
      <c r="D86" s="183"/>
      <c r="E86" s="119"/>
    </row>
    <row r="87" spans="1:5" s="47" customFormat="1" ht="12" customHeight="1" thickBot="1">
      <c r="A87" s="212" t="s">
        <v>255</v>
      </c>
      <c r="B87" s="122" t="s">
        <v>392</v>
      </c>
      <c r="C87" s="235"/>
      <c r="D87" s="235"/>
      <c r="E87" s="236"/>
    </row>
    <row r="88" spans="1:5" s="47" customFormat="1" ht="12" customHeight="1" thickBot="1">
      <c r="A88" s="212" t="s">
        <v>413</v>
      </c>
      <c r="B88" s="122" t="s">
        <v>256</v>
      </c>
      <c r="C88" s="235"/>
      <c r="D88" s="235"/>
      <c r="E88" s="236"/>
    </row>
    <row r="89" spans="1:5" s="47" customFormat="1" ht="12" customHeight="1" thickBot="1">
      <c r="A89" s="212" t="s">
        <v>414</v>
      </c>
      <c r="B89" s="199" t="s">
        <v>395</v>
      </c>
      <c r="C89" s="185">
        <f>+C66+C70+C75+C78+C82+C88+C87</f>
        <v>0</v>
      </c>
      <c r="D89" s="185">
        <f>+D66+D70+D75+D78+D82+D88+D87</f>
        <v>0</v>
      </c>
      <c r="E89" s="221">
        <f>+E66+E70+E75+E78+E82+E88+E87</f>
        <v>0</v>
      </c>
    </row>
    <row r="90" spans="1:5" s="47" customFormat="1" ht="12" customHeight="1" thickBot="1">
      <c r="A90" s="216" t="s">
        <v>415</v>
      </c>
      <c r="B90" s="200" t="s">
        <v>416</v>
      </c>
      <c r="C90" s="185">
        <f>+C65+C89</f>
        <v>0</v>
      </c>
      <c r="D90" s="185">
        <f>+D65+D89</f>
        <v>0</v>
      </c>
      <c r="E90" s="221">
        <f>+E65+E89</f>
        <v>0</v>
      </c>
    </row>
    <row r="91" spans="1:3" s="48" customFormat="1" ht="15" customHeight="1" thickBot="1">
      <c r="A91" s="91"/>
      <c r="B91" s="92"/>
      <c r="C91" s="161"/>
    </row>
    <row r="92" spans="1:5" s="41" customFormat="1" ht="16.5" customHeight="1" thickBot="1">
      <c r="A92" s="600" t="s">
        <v>44</v>
      </c>
      <c r="B92" s="601"/>
      <c r="C92" s="601"/>
      <c r="D92" s="601"/>
      <c r="E92" s="602"/>
    </row>
    <row r="93" spans="1:5" s="49" customFormat="1" ht="12" customHeight="1" thickBot="1">
      <c r="A93" s="186" t="s">
        <v>9</v>
      </c>
      <c r="B93" s="23" t="s">
        <v>420</v>
      </c>
      <c r="C93" s="178">
        <f>+C94+C95+C96+C97+C98+C111</f>
        <v>0</v>
      </c>
      <c r="D93" s="178">
        <f>+D94+D95+D96+D97+D98+D111</f>
        <v>0</v>
      </c>
      <c r="E93" s="246">
        <f>+E94+E95+E96+E97+E98+E111</f>
        <v>0</v>
      </c>
    </row>
    <row r="94" spans="1:5" ht="12" customHeight="1">
      <c r="A94" s="217" t="s">
        <v>67</v>
      </c>
      <c r="B94" s="8" t="s">
        <v>38</v>
      </c>
      <c r="C94" s="253"/>
      <c r="D94" s="253"/>
      <c r="E94" s="247"/>
    </row>
    <row r="95" spans="1:5" ht="12" customHeight="1">
      <c r="A95" s="210" t="s">
        <v>68</v>
      </c>
      <c r="B95" s="6" t="s">
        <v>128</v>
      </c>
      <c r="C95" s="180"/>
      <c r="D95" s="180"/>
      <c r="E95" s="116"/>
    </row>
    <row r="96" spans="1:5" ht="12" customHeight="1">
      <c r="A96" s="210" t="s">
        <v>69</v>
      </c>
      <c r="B96" s="6" t="s">
        <v>95</v>
      </c>
      <c r="C96" s="182"/>
      <c r="D96" s="180"/>
      <c r="E96" s="118"/>
    </row>
    <row r="97" spans="1:5" ht="12" customHeight="1">
      <c r="A97" s="210" t="s">
        <v>70</v>
      </c>
      <c r="B97" s="9" t="s">
        <v>129</v>
      </c>
      <c r="C97" s="182"/>
      <c r="D97" s="266"/>
      <c r="E97" s="118"/>
    </row>
    <row r="98" spans="1:5" ht="12" customHeight="1">
      <c r="A98" s="210" t="s">
        <v>79</v>
      </c>
      <c r="B98" s="17" t="s">
        <v>130</v>
      </c>
      <c r="C98" s="182"/>
      <c r="D98" s="266"/>
      <c r="E98" s="118"/>
    </row>
    <row r="99" spans="1:5" ht="12" customHeight="1">
      <c r="A99" s="210" t="s">
        <v>71</v>
      </c>
      <c r="B99" s="6" t="s">
        <v>417</v>
      </c>
      <c r="C99" s="182"/>
      <c r="D99" s="266"/>
      <c r="E99" s="118"/>
    </row>
    <row r="100" spans="1:5" ht="12" customHeight="1">
      <c r="A100" s="210" t="s">
        <v>72</v>
      </c>
      <c r="B100" s="59" t="s">
        <v>358</v>
      </c>
      <c r="C100" s="182"/>
      <c r="D100" s="266"/>
      <c r="E100" s="118"/>
    </row>
    <row r="101" spans="1:5" ht="12" customHeight="1">
      <c r="A101" s="210" t="s">
        <v>80</v>
      </c>
      <c r="B101" s="59" t="s">
        <v>357</v>
      </c>
      <c r="C101" s="182"/>
      <c r="D101" s="266"/>
      <c r="E101" s="118"/>
    </row>
    <row r="102" spans="1:5" ht="12" customHeight="1">
      <c r="A102" s="210" t="s">
        <v>81</v>
      </c>
      <c r="B102" s="59" t="s">
        <v>272</v>
      </c>
      <c r="C102" s="182"/>
      <c r="D102" s="266"/>
      <c r="E102" s="118"/>
    </row>
    <row r="103" spans="1:5" ht="12" customHeight="1">
      <c r="A103" s="210" t="s">
        <v>82</v>
      </c>
      <c r="B103" s="60" t="s">
        <v>273</v>
      </c>
      <c r="C103" s="182"/>
      <c r="D103" s="266"/>
      <c r="E103" s="118"/>
    </row>
    <row r="104" spans="1:5" ht="12" customHeight="1">
      <c r="A104" s="210" t="s">
        <v>83</v>
      </c>
      <c r="B104" s="60" t="s">
        <v>274</v>
      </c>
      <c r="C104" s="182"/>
      <c r="D104" s="266"/>
      <c r="E104" s="118"/>
    </row>
    <row r="105" spans="1:5" ht="12" customHeight="1">
      <c r="A105" s="210" t="s">
        <v>85</v>
      </c>
      <c r="B105" s="59" t="s">
        <v>275</v>
      </c>
      <c r="C105" s="182"/>
      <c r="D105" s="266"/>
      <c r="E105" s="118"/>
    </row>
    <row r="106" spans="1:5" ht="12" customHeight="1">
      <c r="A106" s="210" t="s">
        <v>131</v>
      </c>
      <c r="B106" s="59" t="s">
        <v>276</v>
      </c>
      <c r="C106" s="182"/>
      <c r="D106" s="266"/>
      <c r="E106" s="118"/>
    </row>
    <row r="107" spans="1:5" ht="12" customHeight="1">
      <c r="A107" s="210" t="s">
        <v>270</v>
      </c>
      <c r="B107" s="60" t="s">
        <v>277</v>
      </c>
      <c r="C107" s="180"/>
      <c r="D107" s="266"/>
      <c r="E107" s="118"/>
    </row>
    <row r="108" spans="1:5" ht="12" customHeight="1">
      <c r="A108" s="218" t="s">
        <v>271</v>
      </c>
      <c r="B108" s="61" t="s">
        <v>278</v>
      </c>
      <c r="C108" s="182"/>
      <c r="D108" s="266"/>
      <c r="E108" s="118"/>
    </row>
    <row r="109" spans="1:5" ht="12" customHeight="1">
      <c r="A109" s="210" t="s">
        <v>355</v>
      </c>
      <c r="B109" s="61" t="s">
        <v>279</v>
      </c>
      <c r="C109" s="182"/>
      <c r="D109" s="266"/>
      <c r="E109" s="118"/>
    </row>
    <row r="110" spans="1:5" ht="12" customHeight="1">
      <c r="A110" s="210" t="s">
        <v>356</v>
      </c>
      <c r="B110" s="60" t="s">
        <v>280</v>
      </c>
      <c r="C110" s="180"/>
      <c r="D110" s="265"/>
      <c r="E110" s="116"/>
    </row>
    <row r="111" spans="1:5" ht="12" customHeight="1">
      <c r="A111" s="210" t="s">
        <v>360</v>
      </c>
      <c r="B111" s="9" t="s">
        <v>39</v>
      </c>
      <c r="C111" s="180"/>
      <c r="D111" s="265"/>
      <c r="E111" s="116"/>
    </row>
    <row r="112" spans="1:5" ht="12" customHeight="1">
      <c r="A112" s="211" t="s">
        <v>361</v>
      </c>
      <c r="B112" s="6" t="s">
        <v>418</v>
      </c>
      <c r="C112" s="182"/>
      <c r="D112" s="266"/>
      <c r="E112" s="118"/>
    </row>
    <row r="113" spans="1:5" ht="12" customHeight="1" thickBot="1">
      <c r="A113" s="219" t="s">
        <v>362</v>
      </c>
      <c r="B113" s="62" t="s">
        <v>419</v>
      </c>
      <c r="C113" s="254"/>
      <c r="D113" s="330"/>
      <c r="E113" s="248"/>
    </row>
    <row r="114" spans="1:5" ht="12" customHeight="1" thickBot="1">
      <c r="A114" s="24" t="s">
        <v>10</v>
      </c>
      <c r="B114" s="22" t="s">
        <v>281</v>
      </c>
      <c r="C114" s="179">
        <f>+C115+C117+C119</f>
        <v>0</v>
      </c>
      <c r="D114" s="263">
        <f>+D115+D117+D119</f>
        <v>0</v>
      </c>
      <c r="E114" s="115">
        <f>+E115+E117+E119</f>
        <v>0</v>
      </c>
    </row>
    <row r="115" spans="1:5" ht="12" customHeight="1">
      <c r="A115" s="209" t="s">
        <v>73</v>
      </c>
      <c r="B115" s="6" t="s">
        <v>156</v>
      </c>
      <c r="C115" s="181"/>
      <c r="D115" s="264"/>
      <c r="E115" s="117"/>
    </row>
    <row r="116" spans="1:5" ht="12" customHeight="1">
      <c r="A116" s="209" t="s">
        <v>74</v>
      </c>
      <c r="B116" s="10" t="s">
        <v>285</v>
      </c>
      <c r="C116" s="181"/>
      <c r="D116" s="264"/>
      <c r="E116" s="117"/>
    </row>
    <row r="117" spans="1:5" ht="12" customHeight="1">
      <c r="A117" s="209" t="s">
        <v>75</v>
      </c>
      <c r="B117" s="10" t="s">
        <v>132</v>
      </c>
      <c r="C117" s="180"/>
      <c r="D117" s="265"/>
      <c r="E117" s="116"/>
    </row>
    <row r="118" spans="1:5" ht="12" customHeight="1">
      <c r="A118" s="209" t="s">
        <v>76</v>
      </c>
      <c r="B118" s="10" t="s">
        <v>286</v>
      </c>
      <c r="C118" s="180"/>
      <c r="D118" s="265"/>
      <c r="E118" s="116"/>
    </row>
    <row r="119" spans="1:5" ht="12" customHeight="1">
      <c r="A119" s="209" t="s">
        <v>77</v>
      </c>
      <c r="B119" s="124" t="s">
        <v>158</v>
      </c>
      <c r="C119" s="180"/>
      <c r="D119" s="265"/>
      <c r="E119" s="116"/>
    </row>
    <row r="120" spans="1:5" ht="12" customHeight="1">
      <c r="A120" s="209" t="s">
        <v>84</v>
      </c>
      <c r="B120" s="123" t="s">
        <v>347</v>
      </c>
      <c r="C120" s="180"/>
      <c r="D120" s="265"/>
      <c r="E120" s="116"/>
    </row>
    <row r="121" spans="1:5" ht="12" customHeight="1">
      <c r="A121" s="209" t="s">
        <v>86</v>
      </c>
      <c r="B121" s="188" t="s">
        <v>291</v>
      </c>
      <c r="C121" s="180"/>
      <c r="D121" s="265"/>
      <c r="E121" s="116"/>
    </row>
    <row r="122" spans="1:5" ht="12" customHeight="1">
      <c r="A122" s="209" t="s">
        <v>133</v>
      </c>
      <c r="B122" s="60" t="s">
        <v>274</v>
      </c>
      <c r="C122" s="180"/>
      <c r="D122" s="265"/>
      <c r="E122" s="116"/>
    </row>
    <row r="123" spans="1:5" ht="12" customHeight="1">
      <c r="A123" s="209" t="s">
        <v>134</v>
      </c>
      <c r="B123" s="60" t="s">
        <v>290</v>
      </c>
      <c r="C123" s="180"/>
      <c r="D123" s="265"/>
      <c r="E123" s="116"/>
    </row>
    <row r="124" spans="1:5" ht="12" customHeight="1">
      <c r="A124" s="209" t="s">
        <v>135</v>
      </c>
      <c r="B124" s="60" t="s">
        <v>289</v>
      </c>
      <c r="C124" s="180"/>
      <c r="D124" s="265"/>
      <c r="E124" s="116"/>
    </row>
    <row r="125" spans="1:5" ht="12" customHeight="1">
      <c r="A125" s="209" t="s">
        <v>282</v>
      </c>
      <c r="B125" s="60" t="s">
        <v>277</v>
      </c>
      <c r="C125" s="180"/>
      <c r="D125" s="265"/>
      <c r="E125" s="116"/>
    </row>
    <row r="126" spans="1:5" ht="12" customHeight="1">
      <c r="A126" s="209" t="s">
        <v>283</v>
      </c>
      <c r="B126" s="60" t="s">
        <v>288</v>
      </c>
      <c r="C126" s="180"/>
      <c r="D126" s="265"/>
      <c r="E126" s="116"/>
    </row>
    <row r="127" spans="1:5" ht="12" customHeight="1" thickBot="1">
      <c r="A127" s="218" t="s">
        <v>284</v>
      </c>
      <c r="B127" s="60" t="s">
        <v>287</v>
      </c>
      <c r="C127" s="182"/>
      <c r="D127" s="266"/>
      <c r="E127" s="118"/>
    </row>
    <row r="128" spans="1:5" ht="12" customHeight="1" thickBot="1">
      <c r="A128" s="24" t="s">
        <v>11</v>
      </c>
      <c r="B128" s="53" t="s">
        <v>365</v>
      </c>
      <c r="C128" s="179">
        <f>+C93+C114</f>
        <v>0</v>
      </c>
      <c r="D128" s="263">
        <f>+D93+D114</f>
        <v>0</v>
      </c>
      <c r="E128" s="115">
        <f>+E93+E114</f>
        <v>0</v>
      </c>
    </row>
    <row r="129" spans="1:5" ht="12" customHeight="1" thickBot="1">
      <c r="A129" s="24" t="s">
        <v>12</v>
      </c>
      <c r="B129" s="53" t="s">
        <v>366</v>
      </c>
      <c r="C129" s="179">
        <f>+C130+C131+C132</f>
        <v>0</v>
      </c>
      <c r="D129" s="263">
        <f>+D130+D131+D132</f>
        <v>0</v>
      </c>
      <c r="E129" s="115">
        <f>+E130+E131+E132</f>
        <v>0</v>
      </c>
    </row>
    <row r="130" spans="1:5" s="49" customFormat="1" ht="12" customHeight="1">
      <c r="A130" s="209" t="s">
        <v>189</v>
      </c>
      <c r="B130" s="7" t="s">
        <v>423</v>
      </c>
      <c r="C130" s="180"/>
      <c r="D130" s="265"/>
      <c r="E130" s="116"/>
    </row>
    <row r="131" spans="1:5" ht="12" customHeight="1">
      <c r="A131" s="209" t="s">
        <v>190</v>
      </c>
      <c r="B131" s="7" t="s">
        <v>374</v>
      </c>
      <c r="C131" s="180"/>
      <c r="D131" s="265"/>
      <c r="E131" s="116"/>
    </row>
    <row r="132" spans="1:5" ht="12" customHeight="1" thickBot="1">
      <c r="A132" s="218" t="s">
        <v>191</v>
      </c>
      <c r="B132" s="5" t="s">
        <v>422</v>
      </c>
      <c r="C132" s="180"/>
      <c r="D132" s="265"/>
      <c r="E132" s="116"/>
    </row>
    <row r="133" spans="1:5" ht="12" customHeight="1" thickBot="1">
      <c r="A133" s="24" t="s">
        <v>13</v>
      </c>
      <c r="B133" s="53" t="s">
        <v>367</v>
      </c>
      <c r="C133" s="179">
        <f>+C134+C135+C136+C137+C138+C139</f>
        <v>0</v>
      </c>
      <c r="D133" s="263">
        <f>+D134+D135+D136+D137+D138+D139</f>
        <v>0</v>
      </c>
      <c r="E133" s="115">
        <f>+E134+E135+E136+E137+E138+E139</f>
        <v>0</v>
      </c>
    </row>
    <row r="134" spans="1:5" ht="12" customHeight="1">
      <c r="A134" s="209" t="s">
        <v>60</v>
      </c>
      <c r="B134" s="7" t="s">
        <v>376</v>
      </c>
      <c r="C134" s="180"/>
      <c r="D134" s="265"/>
      <c r="E134" s="116"/>
    </row>
    <row r="135" spans="1:5" ht="12" customHeight="1">
      <c r="A135" s="209" t="s">
        <v>61</v>
      </c>
      <c r="B135" s="7" t="s">
        <v>368</v>
      </c>
      <c r="C135" s="180"/>
      <c r="D135" s="265"/>
      <c r="E135" s="116"/>
    </row>
    <row r="136" spans="1:5" ht="12" customHeight="1">
      <c r="A136" s="209" t="s">
        <v>62</v>
      </c>
      <c r="B136" s="7" t="s">
        <v>369</v>
      </c>
      <c r="C136" s="180"/>
      <c r="D136" s="265"/>
      <c r="E136" s="116"/>
    </row>
    <row r="137" spans="1:5" ht="12" customHeight="1">
      <c r="A137" s="209" t="s">
        <v>120</v>
      </c>
      <c r="B137" s="7" t="s">
        <v>421</v>
      </c>
      <c r="C137" s="180"/>
      <c r="D137" s="265"/>
      <c r="E137" s="116"/>
    </row>
    <row r="138" spans="1:5" ht="12" customHeight="1">
      <c r="A138" s="209" t="s">
        <v>121</v>
      </c>
      <c r="B138" s="7" t="s">
        <v>371</v>
      </c>
      <c r="C138" s="180"/>
      <c r="D138" s="265"/>
      <c r="E138" s="116"/>
    </row>
    <row r="139" spans="1:5" s="49" customFormat="1" ht="12" customHeight="1" thickBot="1">
      <c r="A139" s="218" t="s">
        <v>122</v>
      </c>
      <c r="B139" s="5" t="s">
        <v>372</v>
      </c>
      <c r="C139" s="180"/>
      <c r="D139" s="265"/>
      <c r="E139" s="116"/>
    </row>
    <row r="140" spans="1:11" ht="12" customHeight="1" thickBot="1">
      <c r="A140" s="24" t="s">
        <v>14</v>
      </c>
      <c r="B140" s="53" t="s">
        <v>436</v>
      </c>
      <c r="C140" s="185">
        <f>+C141+C142+C144+C145+C143</f>
        <v>0</v>
      </c>
      <c r="D140" s="267">
        <f>+D141+D142+D144+D145+D143</f>
        <v>0</v>
      </c>
      <c r="E140" s="221">
        <f>+E141+E142+E144+E145+E143</f>
        <v>0</v>
      </c>
      <c r="K140" s="100"/>
    </row>
    <row r="141" spans="1:5" ht="12.75">
      <c r="A141" s="209" t="s">
        <v>63</v>
      </c>
      <c r="B141" s="7" t="s">
        <v>292</v>
      </c>
      <c r="C141" s="180"/>
      <c r="D141" s="265"/>
      <c r="E141" s="116"/>
    </row>
    <row r="142" spans="1:5" ht="12" customHeight="1">
      <c r="A142" s="209" t="s">
        <v>64</v>
      </c>
      <c r="B142" s="7" t="s">
        <v>293</v>
      </c>
      <c r="C142" s="180"/>
      <c r="D142" s="265"/>
      <c r="E142" s="116"/>
    </row>
    <row r="143" spans="1:5" ht="12" customHeight="1">
      <c r="A143" s="209" t="s">
        <v>209</v>
      </c>
      <c r="B143" s="7" t="s">
        <v>435</v>
      </c>
      <c r="C143" s="180"/>
      <c r="D143" s="265"/>
      <c r="E143" s="116"/>
    </row>
    <row r="144" spans="1:5" s="49" customFormat="1" ht="12" customHeight="1">
      <c r="A144" s="209" t="s">
        <v>210</v>
      </c>
      <c r="B144" s="7" t="s">
        <v>381</v>
      </c>
      <c r="C144" s="180"/>
      <c r="D144" s="265"/>
      <c r="E144" s="116"/>
    </row>
    <row r="145" spans="1:5" s="49" customFormat="1" ht="12" customHeight="1" thickBot="1">
      <c r="A145" s="218" t="s">
        <v>211</v>
      </c>
      <c r="B145" s="5" t="s">
        <v>311</v>
      </c>
      <c r="C145" s="180"/>
      <c r="D145" s="265"/>
      <c r="E145" s="116"/>
    </row>
    <row r="146" spans="1:5" s="49" customFormat="1" ht="12" customHeight="1" thickBot="1">
      <c r="A146" s="24" t="s">
        <v>15</v>
      </c>
      <c r="B146" s="53" t="s">
        <v>382</v>
      </c>
      <c r="C146" s="256">
        <f>+C147+C148+C149+C150+C151</f>
        <v>0</v>
      </c>
      <c r="D146" s="268">
        <f>+D147+D148+D149+D150+D151</f>
        <v>0</v>
      </c>
      <c r="E146" s="250">
        <f>+E147+E148+E149+E150+E151</f>
        <v>0</v>
      </c>
    </row>
    <row r="147" spans="1:5" s="49" customFormat="1" ht="12" customHeight="1">
      <c r="A147" s="209" t="s">
        <v>65</v>
      </c>
      <c r="B147" s="7" t="s">
        <v>377</v>
      </c>
      <c r="C147" s="180"/>
      <c r="D147" s="265"/>
      <c r="E147" s="116"/>
    </row>
    <row r="148" spans="1:5" s="49" customFormat="1" ht="12" customHeight="1">
      <c r="A148" s="209" t="s">
        <v>66</v>
      </c>
      <c r="B148" s="7" t="s">
        <v>384</v>
      </c>
      <c r="C148" s="180"/>
      <c r="D148" s="265"/>
      <c r="E148" s="116"/>
    </row>
    <row r="149" spans="1:5" s="49" customFormat="1" ht="12" customHeight="1">
      <c r="A149" s="209" t="s">
        <v>221</v>
      </c>
      <c r="B149" s="7" t="s">
        <v>379</v>
      </c>
      <c r="C149" s="180"/>
      <c r="D149" s="265"/>
      <c r="E149" s="116"/>
    </row>
    <row r="150" spans="1:5" s="49" customFormat="1" ht="12" customHeight="1">
      <c r="A150" s="209" t="s">
        <v>222</v>
      </c>
      <c r="B150" s="7" t="s">
        <v>424</v>
      </c>
      <c r="C150" s="180"/>
      <c r="D150" s="265"/>
      <c r="E150" s="116"/>
    </row>
    <row r="151" spans="1:5" ht="12.75" customHeight="1" thickBot="1">
      <c r="A151" s="218" t="s">
        <v>383</v>
      </c>
      <c r="B151" s="5" t="s">
        <v>386</v>
      </c>
      <c r="C151" s="182"/>
      <c r="D151" s="266"/>
      <c r="E151" s="118"/>
    </row>
    <row r="152" spans="1:5" ht="12.75" customHeight="1" thickBot="1">
      <c r="A152" s="245" t="s">
        <v>16</v>
      </c>
      <c r="B152" s="53" t="s">
        <v>387</v>
      </c>
      <c r="C152" s="256"/>
      <c r="D152" s="268"/>
      <c r="E152" s="250"/>
    </row>
    <row r="153" spans="1:5" ht="12.75" customHeight="1" thickBot="1">
      <c r="A153" s="245" t="s">
        <v>17</v>
      </c>
      <c r="B153" s="53" t="s">
        <v>388</v>
      </c>
      <c r="C153" s="256"/>
      <c r="D153" s="268"/>
      <c r="E153" s="250"/>
    </row>
    <row r="154" spans="1:5" ht="12" customHeight="1" thickBot="1">
      <c r="A154" s="24" t="s">
        <v>18</v>
      </c>
      <c r="B154" s="53" t="s">
        <v>390</v>
      </c>
      <c r="C154" s="258">
        <f>+C129+C133+C140+C146+C152+C153</f>
        <v>0</v>
      </c>
      <c r="D154" s="270">
        <f>+D129+D133+D140+D146+D152+D153</f>
        <v>0</v>
      </c>
      <c r="E154" s="252">
        <f>+E129+E133+E140+E146+E152+E153</f>
        <v>0</v>
      </c>
    </row>
    <row r="155" spans="1:5" ht="15" customHeight="1" thickBot="1">
      <c r="A155" s="220" t="s">
        <v>19</v>
      </c>
      <c r="B155" s="166" t="s">
        <v>389</v>
      </c>
      <c r="C155" s="258">
        <f>+C128+C154</f>
        <v>0</v>
      </c>
      <c r="D155" s="270">
        <f>+D128+D154</f>
        <v>0</v>
      </c>
      <c r="E155" s="252">
        <f>+E128+E154</f>
        <v>0</v>
      </c>
    </row>
    <row r="156" spans="1:5" ht="13.5" thickBot="1">
      <c r="A156" s="169"/>
      <c r="B156" s="170"/>
      <c r="C156" s="447">
        <f>C90-C155</f>
        <v>0</v>
      </c>
      <c r="D156" s="447">
        <f>D90-D155</f>
        <v>0</v>
      </c>
      <c r="E156" s="171"/>
    </row>
    <row r="157" spans="1:5" ht="15" customHeight="1" thickBot="1">
      <c r="A157" s="340" t="s">
        <v>507</v>
      </c>
      <c r="B157" s="341"/>
      <c r="C157" s="329"/>
      <c r="D157" s="329"/>
      <c r="E157" s="328"/>
    </row>
    <row r="158" spans="1:5" ht="14.25" customHeight="1" thickBot="1">
      <c r="A158" s="342" t="s">
        <v>508</v>
      </c>
      <c r="B158" s="343"/>
      <c r="C158" s="329"/>
      <c r="D158" s="329"/>
      <c r="E158" s="328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tabSelected="1" zoomScale="120" zoomScaleNormal="120" workbookViewId="0" topLeftCell="A25">
      <selection activeCell="E58" sqref="E58"/>
    </sheetView>
  </sheetViews>
  <sheetFormatPr defaultColWidth="9.375" defaultRowHeight="12.75"/>
  <cols>
    <col min="1" max="1" width="13.00390625" style="96" customWidth="1"/>
    <col min="2" max="2" width="59.00390625" style="97" customWidth="1"/>
    <col min="3" max="5" width="15.75390625" style="97" customWidth="1"/>
    <col min="6" max="6" width="23.375" style="97" customWidth="1"/>
    <col min="7" max="16384" width="9.375" style="97" customWidth="1"/>
  </cols>
  <sheetData>
    <row r="1" spans="1:5" s="87" customFormat="1" ht="21" customHeight="1" thickBot="1">
      <c r="A1" s="392"/>
      <c r="B1" s="604" t="str">
        <f>CONCATENATE("14. melléklet ",'[2]IB_ALAPADATOK'!B7," ",'[2]IB_ALAPADATOK'!C7," ",'[2]IB_ALAPADATOK'!D7," ",'[2]IB_ALAPADATOK'!E7)</f>
        <v>14. melléklet a 2022 I. félévi költségvetési tájékoztatóhoz</v>
      </c>
      <c r="C1" s="604"/>
      <c r="D1" s="604"/>
      <c r="E1" s="604"/>
    </row>
    <row r="2" spans="1:5" s="227" customFormat="1" ht="23.25" thickBot="1">
      <c r="A2" s="393" t="s">
        <v>474</v>
      </c>
      <c r="B2" s="606" t="str">
        <f>'[2]IB_ALAPADATOK'!B11</f>
        <v>Balatonvilágos Község Önkormányzat Gazdasági Ellátó és Vagyongazdálkodó Szervezete</v>
      </c>
      <c r="C2" s="607"/>
      <c r="D2" s="608"/>
      <c r="E2" s="394" t="s">
        <v>46</v>
      </c>
    </row>
    <row r="3" spans="1:5" s="227" customFormat="1" ht="23.25" thickBot="1">
      <c r="A3" s="393" t="s">
        <v>141</v>
      </c>
      <c r="B3" s="606" t="s">
        <v>319</v>
      </c>
      <c r="C3" s="607"/>
      <c r="D3" s="608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'[2]13.sz.mell.'!E4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23075000</v>
      </c>
      <c r="D8" s="132">
        <f>SUM(D9:D19)</f>
        <v>23075000</v>
      </c>
      <c r="E8" s="160">
        <f>SUM(E9:E19)</f>
        <v>13353645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9410000</v>
      </c>
      <c r="D10" s="129">
        <v>9410000</v>
      </c>
      <c r="E10" s="277">
        <v>5474154</v>
      </c>
    </row>
    <row r="11" spans="1:5" s="165" customFormat="1" ht="12" customHeight="1">
      <c r="A11" s="223" t="s">
        <v>69</v>
      </c>
      <c r="B11" s="6" t="s">
        <v>200</v>
      </c>
      <c r="C11" s="129">
        <v>3625000</v>
      </c>
      <c r="D11" s="129">
        <v>3625000</v>
      </c>
      <c r="E11" s="277">
        <v>1068045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>
        <v>11000</v>
      </c>
    </row>
    <row r="13" spans="1:5" s="165" customFormat="1" ht="12" customHeight="1">
      <c r="A13" s="223" t="s">
        <v>102</v>
      </c>
      <c r="B13" s="6" t="s">
        <v>202</v>
      </c>
      <c r="C13" s="129">
        <v>5921000</v>
      </c>
      <c r="D13" s="129">
        <v>5921000</v>
      </c>
      <c r="E13" s="277">
        <v>4478395</v>
      </c>
    </row>
    <row r="14" spans="1:5" s="165" customFormat="1" ht="12" customHeight="1">
      <c r="A14" s="223" t="s">
        <v>71</v>
      </c>
      <c r="B14" s="6" t="s">
        <v>320</v>
      </c>
      <c r="C14" s="129">
        <v>4094000</v>
      </c>
      <c r="D14" s="129">
        <v>4094000</v>
      </c>
      <c r="E14" s="277">
        <v>2275132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5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>
        <v>25000</v>
      </c>
      <c r="D19" s="131">
        <v>25000</v>
      </c>
      <c r="E19" s="278">
        <v>46914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593928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>
        <v>593928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23075000</v>
      </c>
      <c r="D37" s="132">
        <f>+D8+D20+D25+D26+D31+D35+D36</f>
        <v>23075000</v>
      </c>
      <c r="E37" s="160">
        <f>+E8+E20+E25+E26+E31+E35+E36</f>
        <v>13947573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313242424</v>
      </c>
      <c r="D38" s="132">
        <f>+D39+D40+D41</f>
        <v>314530364</v>
      </c>
      <c r="E38" s="160">
        <f>+E39+E40+E41</f>
        <v>135716879</v>
      </c>
    </row>
    <row r="39" spans="1:5" s="165" customFormat="1" ht="12" customHeight="1">
      <c r="A39" s="224" t="s">
        <v>331</v>
      </c>
      <c r="B39" s="225" t="s">
        <v>162</v>
      </c>
      <c r="C39" s="284">
        <v>6521043</v>
      </c>
      <c r="D39" s="284">
        <v>6508983</v>
      </c>
      <c r="E39" s="282">
        <v>6508983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306721381</v>
      </c>
      <c r="D41" s="44">
        <v>308021381</v>
      </c>
      <c r="E41" s="333">
        <v>129207896</v>
      </c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336317424</v>
      </c>
      <c r="D42" s="335">
        <f>+D37+D38</f>
        <v>337605364</v>
      </c>
      <c r="E42" s="163">
        <f>+E37+E38</f>
        <v>149664452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0" t="s">
        <v>44</v>
      </c>
      <c r="B45" s="601"/>
      <c r="C45" s="601"/>
      <c r="D45" s="601"/>
      <c r="E45" s="60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324657674</v>
      </c>
      <c r="D46" s="132">
        <f>SUM(D47:D51)</f>
        <v>325945614</v>
      </c>
      <c r="E46" s="160">
        <f>SUM(E47:E51)</f>
        <v>129395838</v>
      </c>
    </row>
    <row r="47" spans="1:5" ht="12" customHeight="1">
      <c r="A47" s="223" t="s">
        <v>67</v>
      </c>
      <c r="B47" s="7" t="s">
        <v>38</v>
      </c>
      <c r="C47" s="284">
        <v>141916064</v>
      </c>
      <c r="D47" s="284">
        <v>141916064</v>
      </c>
      <c r="E47" s="282">
        <v>59196396</v>
      </c>
    </row>
    <row r="48" spans="1:5" ht="12" customHeight="1">
      <c r="A48" s="223" t="s">
        <v>68</v>
      </c>
      <c r="B48" s="6" t="s">
        <v>128</v>
      </c>
      <c r="C48" s="43">
        <v>21635610</v>
      </c>
      <c r="D48" s="43">
        <v>21635610</v>
      </c>
      <c r="E48" s="280">
        <v>9497166</v>
      </c>
    </row>
    <row r="49" spans="1:5" ht="12" customHeight="1">
      <c r="A49" s="223" t="s">
        <v>69</v>
      </c>
      <c r="B49" s="6" t="s">
        <v>95</v>
      </c>
      <c r="C49" s="43">
        <v>161106000</v>
      </c>
      <c r="D49" s="43">
        <v>162393940</v>
      </c>
      <c r="E49" s="280">
        <v>60702276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11659750</v>
      </c>
      <c r="D52" s="132">
        <f>SUM(D53:D55)</f>
        <v>11659750</v>
      </c>
      <c r="E52" s="160">
        <f>SUM(E53:E55)</f>
        <v>5279721</v>
      </c>
    </row>
    <row r="53" spans="1:5" s="231" customFormat="1" ht="12" customHeight="1">
      <c r="A53" s="223" t="s">
        <v>73</v>
      </c>
      <c r="B53" s="7" t="s">
        <v>156</v>
      </c>
      <c r="C53" s="284">
        <v>11659750</v>
      </c>
      <c r="D53" s="284">
        <v>11659750</v>
      </c>
      <c r="E53" s="282">
        <v>5279721</v>
      </c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336317424</v>
      </c>
      <c r="D58" s="335">
        <f>+D46+D52+D57</f>
        <v>337605364</v>
      </c>
      <c r="E58" s="163">
        <f>+E46+E52+E57</f>
        <v>134675559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507</v>
      </c>
      <c r="B60" s="341"/>
      <c r="C60" s="329">
        <v>33</v>
      </c>
      <c r="D60" s="329"/>
      <c r="E60" s="328">
        <v>33</v>
      </c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10">
      <selection activeCell="F45" sqref="F45"/>
    </sheetView>
  </sheetViews>
  <sheetFormatPr defaultColWidth="9.375" defaultRowHeight="12.75"/>
  <cols>
    <col min="1" max="1" width="13.00390625" style="96" customWidth="1"/>
    <col min="2" max="2" width="59.00390625" style="97" customWidth="1"/>
    <col min="3" max="5" width="15.75390625" style="97" customWidth="1"/>
    <col min="6" max="6" width="20.625" style="97" customWidth="1"/>
    <col min="7" max="16384" width="9.375" style="97" customWidth="1"/>
  </cols>
  <sheetData>
    <row r="1" spans="1:5" s="87" customFormat="1" ht="21" customHeight="1" thickBot="1">
      <c r="A1" s="392"/>
      <c r="B1" s="609" t="str">
        <f>CONCATENATE("15. melléklet ",'[2]IB_ALAPADATOK'!B7," ",'[2]IB_ALAPADATOK'!C7," ",'[2]IB_ALAPADATOK'!D7," ",'[2]IB_ALAPADATOK'!E7)</f>
        <v>15. melléklet a 2022 I. félévi költségvetési tájékoztatóhoz</v>
      </c>
      <c r="C1" s="610"/>
      <c r="D1" s="610"/>
      <c r="E1" s="610"/>
    </row>
    <row r="2" spans="1:5" s="227" customFormat="1" ht="23.25" thickBot="1">
      <c r="A2" s="393" t="s">
        <v>474</v>
      </c>
      <c r="B2" s="606" t="str">
        <f>CONCATENATE('[2]14.sz.mell.'!B2:D2)</f>
        <v>Balatonvilágos Község Önkormányzat Gazdasági Ellátó és Vagyongazdálkodó Szervezete</v>
      </c>
      <c r="C2" s="607"/>
      <c r="D2" s="608"/>
      <c r="E2" s="394" t="s">
        <v>46</v>
      </c>
    </row>
    <row r="3" spans="1:5" s="227" customFormat="1" ht="23.25" thickBot="1">
      <c r="A3" s="393" t="s">
        <v>141</v>
      </c>
      <c r="B3" s="606" t="s">
        <v>338</v>
      </c>
      <c r="C3" s="607"/>
      <c r="D3" s="608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'[2]14.sz.mell.'!E4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17214000</v>
      </c>
      <c r="D8" s="132">
        <f>SUM(D9:D19)</f>
        <v>21532000</v>
      </c>
      <c r="E8" s="160">
        <f>SUM(E9:E19)</f>
        <v>11995095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4795000</v>
      </c>
      <c r="D10" s="129">
        <v>8195000</v>
      </c>
      <c r="E10" s="277">
        <v>4289626</v>
      </c>
    </row>
    <row r="11" spans="1:5" s="165" customFormat="1" ht="12" customHeight="1">
      <c r="A11" s="223" t="s">
        <v>69</v>
      </c>
      <c r="B11" s="6" t="s">
        <v>200</v>
      </c>
      <c r="C11" s="129">
        <v>3625000</v>
      </c>
      <c r="D11" s="129">
        <v>3625000</v>
      </c>
      <c r="E11" s="277">
        <v>1068045</v>
      </c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>
        <v>11000</v>
      </c>
    </row>
    <row r="13" spans="1:5" s="165" customFormat="1" ht="12" customHeight="1">
      <c r="A13" s="223" t="s">
        <v>102</v>
      </c>
      <c r="B13" s="6" t="s">
        <v>202</v>
      </c>
      <c r="C13" s="129">
        <v>5921000</v>
      </c>
      <c r="D13" s="129">
        <v>5921000</v>
      </c>
      <c r="E13" s="277">
        <v>4478395</v>
      </c>
    </row>
    <row r="14" spans="1:5" s="165" customFormat="1" ht="12" customHeight="1">
      <c r="A14" s="223" t="s">
        <v>71</v>
      </c>
      <c r="B14" s="6" t="s">
        <v>320</v>
      </c>
      <c r="C14" s="129">
        <v>2848000</v>
      </c>
      <c r="D14" s="129">
        <v>3766000</v>
      </c>
      <c r="E14" s="277">
        <v>2101110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>
        <v>5</v>
      </c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>
        <v>25000</v>
      </c>
      <c r="D19" s="131">
        <v>25000</v>
      </c>
      <c r="E19" s="278">
        <v>46914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593928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>
        <v>593928</v>
      </c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17214000</v>
      </c>
      <c r="D37" s="132">
        <f>+D8+D20+D25+D26+D31+D35+D36</f>
        <v>21532000</v>
      </c>
      <c r="E37" s="160">
        <f>+E8+E20+E25+E26+E31+E35+E36</f>
        <v>12589023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313242424</v>
      </c>
      <c r="D38" s="132">
        <f>+D39+D40+D41</f>
        <v>314530364</v>
      </c>
      <c r="E38" s="160">
        <f>+E39+E40+E41</f>
        <v>135716879</v>
      </c>
    </row>
    <row r="39" spans="1:5" s="165" customFormat="1" ht="12" customHeight="1">
      <c r="A39" s="224" t="s">
        <v>331</v>
      </c>
      <c r="B39" s="225" t="s">
        <v>162</v>
      </c>
      <c r="C39" s="284">
        <v>6521043</v>
      </c>
      <c r="D39" s="284">
        <v>6508983</v>
      </c>
      <c r="E39" s="282">
        <v>6508983</v>
      </c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>
        <v>306721381</v>
      </c>
      <c r="D41" s="44">
        <v>308021381</v>
      </c>
      <c r="E41" s="333">
        <v>129207896</v>
      </c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330456424</v>
      </c>
      <c r="D42" s="335">
        <f>+D37+D38</f>
        <v>336062364</v>
      </c>
      <c r="E42" s="163">
        <f>+E37+E38</f>
        <v>148305902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0" t="s">
        <v>44</v>
      </c>
      <c r="B45" s="601"/>
      <c r="C45" s="601"/>
      <c r="D45" s="601"/>
      <c r="E45" s="60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318417674</v>
      </c>
      <c r="D46" s="132">
        <f>SUM(D47:D51)</f>
        <v>321535614</v>
      </c>
      <c r="E46" s="160">
        <f>SUM(E47:E51)</f>
        <v>128261720</v>
      </c>
    </row>
    <row r="47" spans="1:5" ht="12" customHeight="1">
      <c r="A47" s="223" t="s">
        <v>67</v>
      </c>
      <c r="B47" s="7" t="s">
        <v>38</v>
      </c>
      <c r="C47" s="284">
        <v>141916064</v>
      </c>
      <c r="D47" s="284">
        <v>141916064</v>
      </c>
      <c r="E47" s="282">
        <v>59196396</v>
      </c>
    </row>
    <row r="48" spans="1:5" ht="12" customHeight="1">
      <c r="A48" s="223" t="s">
        <v>68</v>
      </c>
      <c r="B48" s="6" t="s">
        <v>128</v>
      </c>
      <c r="C48" s="43">
        <v>21635610</v>
      </c>
      <c r="D48" s="43">
        <v>21635610</v>
      </c>
      <c r="E48" s="280">
        <v>9497166</v>
      </c>
    </row>
    <row r="49" spans="1:5" ht="12" customHeight="1">
      <c r="A49" s="223" t="s">
        <v>69</v>
      </c>
      <c r="B49" s="6" t="s">
        <v>95</v>
      </c>
      <c r="C49" s="43">
        <v>154866000</v>
      </c>
      <c r="D49" s="43">
        <v>157983940</v>
      </c>
      <c r="E49" s="280">
        <v>59568158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11659750</v>
      </c>
      <c r="D52" s="132">
        <f>SUM(D53:D55)</f>
        <v>11659750</v>
      </c>
      <c r="E52" s="160">
        <f>SUM(E53:E55)</f>
        <v>5279721</v>
      </c>
    </row>
    <row r="53" spans="1:5" s="231" customFormat="1" ht="12" customHeight="1">
      <c r="A53" s="223" t="s">
        <v>73</v>
      </c>
      <c r="B53" s="7" t="s">
        <v>156</v>
      </c>
      <c r="C53" s="284">
        <v>11659750</v>
      </c>
      <c r="D53" s="284">
        <v>11659750</v>
      </c>
      <c r="E53" s="282">
        <v>5279721</v>
      </c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330077424</v>
      </c>
      <c r="D58" s="335">
        <f>+D46+D52+D57</f>
        <v>333195364</v>
      </c>
      <c r="E58" s="163">
        <f>+E46+E52+E57</f>
        <v>133541441</v>
      </c>
    </row>
    <row r="59" spans="3:5" ht="13.5" thickBot="1">
      <c r="C59" s="447">
        <f>C42-C58</f>
        <v>379000</v>
      </c>
      <c r="D59" s="447">
        <f>D42-D58</f>
        <v>2867000</v>
      </c>
      <c r="E59" s="164"/>
    </row>
    <row r="60" spans="1:5" ht="15" customHeight="1" thickBot="1">
      <c r="A60" s="340" t="s">
        <v>507</v>
      </c>
      <c r="B60" s="341"/>
      <c r="C60" s="329">
        <v>33</v>
      </c>
      <c r="D60" s="329"/>
      <c r="E60" s="328">
        <v>33</v>
      </c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zoomScale="120" zoomScaleNormal="120" zoomScalePageLayoutView="0" workbookViewId="0" topLeftCell="A1">
      <selection activeCell="C18" sqref="C18"/>
    </sheetView>
  </sheetViews>
  <sheetFormatPr defaultColWidth="9.00390625" defaultRowHeight="12.75"/>
  <cols>
    <col min="1" max="1" width="37.50390625" style="0" customWidth="1"/>
    <col min="2" max="2" width="43.375" style="0" customWidth="1"/>
    <col min="3" max="3" width="49.125" style="0" customWidth="1"/>
    <col min="4" max="4" width="18.625" style="0" customWidth="1"/>
    <col min="5" max="5" width="4.75390625" style="0" bestFit="1" customWidth="1"/>
    <col min="6" max="6" width="1.4921875" style="0" bestFit="1" customWidth="1"/>
    <col min="8" max="8" width="1.4921875" style="0" bestFit="1" customWidth="1"/>
  </cols>
  <sheetData>
    <row r="2" spans="2:7" ht="15">
      <c r="B2" s="533" t="s">
        <v>515</v>
      </c>
      <c r="C2" s="533"/>
      <c r="D2" s="533"/>
      <c r="E2" s="533"/>
      <c r="F2" s="533"/>
      <c r="G2" s="533"/>
    </row>
    <row r="3" spans="2:8" ht="15">
      <c r="B3" s="530" t="s">
        <v>540</v>
      </c>
      <c r="C3" s="530"/>
      <c r="D3" s="530"/>
      <c r="E3" s="530"/>
      <c r="F3" s="530"/>
      <c r="G3" s="530"/>
      <c r="H3" s="530"/>
    </row>
    <row r="6" ht="13.5">
      <c r="B6" s="382"/>
    </row>
    <row r="7" spans="2:7" ht="12.75">
      <c r="B7" s="438" t="s">
        <v>523</v>
      </c>
      <c r="C7" s="449">
        <v>2022</v>
      </c>
      <c r="D7" s="451" t="s">
        <v>532</v>
      </c>
      <c r="E7" t="s">
        <v>533</v>
      </c>
      <c r="G7" s="437"/>
    </row>
    <row r="8" ht="12.75">
      <c r="D8" s="448" t="str">
        <f>IF(D7="I. negyedévi","I. negyedéves",IF(D7="I. félévi","I. féléves","III. negyedéves"))</f>
        <v>I. féléves</v>
      </c>
    </row>
    <row r="11" spans="1:8" ht="15">
      <c r="A11" s="383" t="s">
        <v>516</v>
      </c>
      <c r="B11" s="531" t="s">
        <v>541</v>
      </c>
      <c r="C11" s="532"/>
      <c r="D11" s="532"/>
      <c r="E11" s="532"/>
      <c r="F11" s="532"/>
      <c r="G11" s="532"/>
      <c r="H11" s="532"/>
    </row>
    <row r="13" spans="1:8" ht="13.5">
      <c r="A13" s="383" t="s">
        <v>517</v>
      </c>
      <c r="B13" s="534" t="s">
        <v>542</v>
      </c>
      <c r="C13" s="534"/>
      <c r="D13" s="534"/>
      <c r="E13" s="534"/>
      <c r="F13" s="534"/>
      <c r="G13" s="534"/>
      <c r="H13" s="534"/>
    </row>
    <row r="14" ht="13.5">
      <c r="C14" s="445"/>
    </row>
  </sheetData>
  <sheetProtection/>
  <mergeCells count="4">
    <mergeCell ref="B3:H3"/>
    <mergeCell ref="B11:H11"/>
    <mergeCell ref="B2:G2"/>
    <mergeCell ref="B13:H13"/>
  </mergeCells>
  <dataValidations count="1">
    <dataValidation type="list" allowBlank="1" showInputMessage="1" showErrorMessage="1" sqref="D7">
      <formula1>"I. félévi, III. negyedévi"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25">
      <selection activeCell="I45" sqref="I45"/>
    </sheetView>
  </sheetViews>
  <sheetFormatPr defaultColWidth="9.375" defaultRowHeight="12.75"/>
  <cols>
    <col min="1" max="1" width="13.00390625" style="96" customWidth="1"/>
    <col min="2" max="2" width="59.00390625" style="97" customWidth="1"/>
    <col min="3" max="5" width="15.75390625" style="97" customWidth="1"/>
    <col min="6" max="16384" width="9.375" style="97" customWidth="1"/>
  </cols>
  <sheetData>
    <row r="1" spans="1:5" s="87" customFormat="1" ht="21" customHeight="1" thickBot="1">
      <c r="A1" s="392"/>
      <c r="B1" s="604" t="str">
        <f>CONCATENATE("16. melléklet ",'[2]IB_ALAPADATOK'!B7," ",'[2]IB_ALAPADATOK'!C7," ",'[2]IB_ALAPADATOK'!D7," ",'[2]IB_ALAPADATOK'!E7)</f>
        <v>16. melléklet a 2022 I. félévi költségvetési tájékoztatóhoz</v>
      </c>
      <c r="C1" s="605"/>
      <c r="D1" s="605"/>
      <c r="E1" s="605"/>
    </row>
    <row r="2" spans="1:5" s="227" customFormat="1" ht="23.25" thickBot="1">
      <c r="A2" s="393" t="s">
        <v>474</v>
      </c>
      <c r="B2" s="606" t="str">
        <f>CONCATENATE('[2]15.sz.mell.'!B2:D2)</f>
        <v>Balatonvilágos Község Önkormányzat Gazdasági Ellátó és Vagyongazdálkodó Szervezete</v>
      </c>
      <c r="C2" s="607"/>
      <c r="D2" s="608"/>
      <c r="E2" s="394" t="s">
        <v>46</v>
      </c>
    </row>
    <row r="3" spans="1:5" s="227" customFormat="1" ht="23.25" thickBot="1">
      <c r="A3" s="393" t="s">
        <v>141</v>
      </c>
      <c r="B3" s="606" t="s">
        <v>339</v>
      </c>
      <c r="C3" s="607"/>
      <c r="D3" s="608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'[2]15.sz.mell.'!E4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+CONCATENATE("Teljesítés",CHAR(10),LEFT('[2]IB_ÖSSZEFÜGGÉSEK'!A6,4),".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5861000</v>
      </c>
      <c r="D8" s="132">
        <f>SUM(D9:D19)</f>
        <v>1543000</v>
      </c>
      <c r="E8" s="160">
        <f>SUM(E9:E19)</f>
        <v>818550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>
        <v>4615000</v>
      </c>
      <c r="D10" s="129">
        <v>1215000</v>
      </c>
      <c r="E10" s="277">
        <v>644528</v>
      </c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>
        <v>1246000</v>
      </c>
      <c r="D14" s="129">
        <v>328000</v>
      </c>
      <c r="E14" s="277">
        <v>174022</v>
      </c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5861000</v>
      </c>
      <c r="D37" s="132">
        <f>+D8+D20+D25+D26+D31+D35+D36</f>
        <v>1543000</v>
      </c>
      <c r="E37" s="160">
        <f>+E8+E20+E25+E26+E31+E35+E36</f>
        <v>818550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5861000</v>
      </c>
      <c r="D42" s="335">
        <f>+D37+D38</f>
        <v>1543000</v>
      </c>
      <c r="E42" s="163">
        <f>+E37+E38</f>
        <v>818550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0" t="s">
        <v>44</v>
      </c>
      <c r="B45" s="601"/>
      <c r="C45" s="601"/>
      <c r="D45" s="601"/>
      <c r="E45" s="60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6240000</v>
      </c>
      <c r="D46" s="132">
        <f>SUM(D47:D51)</f>
        <v>4410000</v>
      </c>
      <c r="E46" s="160">
        <f>SUM(E47:E51)</f>
        <v>1134118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>
        <v>6240000</v>
      </c>
      <c r="D49" s="43">
        <v>4410000</v>
      </c>
      <c r="E49" s="280">
        <v>1134118</v>
      </c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6240000</v>
      </c>
      <c r="D58" s="335">
        <f>+D46+D52+D57</f>
        <v>4410000</v>
      </c>
      <c r="E58" s="163">
        <f>+E46+E52+E57</f>
        <v>1134118</v>
      </c>
    </row>
    <row r="59" spans="3:5" ht="13.5" thickBot="1">
      <c r="C59" s="447">
        <f>C42-C58</f>
        <v>-379000</v>
      </c>
      <c r="D59" s="447">
        <f>D42-D58</f>
        <v>-2867000</v>
      </c>
      <c r="E59" s="164"/>
    </row>
    <row r="60" spans="1:5" ht="15" customHeight="1" thickBot="1">
      <c r="A60" s="340" t="s">
        <v>507</v>
      </c>
      <c r="B60" s="341"/>
      <c r="C60" s="329"/>
      <c r="D60" s="329"/>
      <c r="E60" s="328"/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1"/>
  <sheetViews>
    <sheetView zoomScale="120" zoomScaleNormal="120" workbookViewId="0" topLeftCell="A22">
      <selection activeCell="B2" sqref="B2:D2"/>
    </sheetView>
  </sheetViews>
  <sheetFormatPr defaultColWidth="9.375" defaultRowHeight="12.75"/>
  <cols>
    <col min="1" max="1" width="13.00390625" style="96" customWidth="1"/>
    <col min="2" max="2" width="59.00390625" style="97" customWidth="1"/>
    <col min="3" max="5" width="15.75390625" style="97" customWidth="1"/>
    <col min="6" max="16384" width="9.375" style="97" customWidth="1"/>
  </cols>
  <sheetData>
    <row r="1" spans="1:5" s="87" customFormat="1" ht="21" customHeight="1" thickBot="1">
      <c r="A1" s="392"/>
      <c r="B1" s="611" t="str">
        <f>CONCATENATE("17. melléklet ",IB_ALAPADATOK!B7," ",IB_ALAPADATOK!C7," ",IB_ALAPADATOK!D7," ",IB_ALAPADATOK!E7)</f>
        <v>17. melléklet a 2022 I. félévi költségvetési tájékoztatóhoz</v>
      </c>
      <c r="C1" s="612"/>
      <c r="D1" s="612"/>
      <c r="E1" s="612"/>
    </row>
    <row r="2" spans="1:5" s="227" customFormat="1" ht="23.25" thickBot="1">
      <c r="A2" s="393" t="s">
        <v>474</v>
      </c>
      <c r="B2" s="606" t="str">
        <f>CONCATENATE('16.sz.mell.'!B2:D2)</f>
        <v>Balatonvilágos Község Önkormányzat Gazdasági Ellátó és Vagyongazdálkodó Szervezete</v>
      </c>
      <c r="C2" s="607"/>
      <c r="D2" s="608"/>
      <c r="E2" s="394" t="s">
        <v>46</v>
      </c>
    </row>
    <row r="3" spans="1:5" s="227" customFormat="1" ht="23.25" thickBot="1">
      <c r="A3" s="393" t="s">
        <v>141</v>
      </c>
      <c r="B3" s="606" t="s">
        <v>434</v>
      </c>
      <c r="C3" s="607"/>
      <c r="D3" s="608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'16.sz.mell.'!E4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60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129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129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129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129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129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129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283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129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131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131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132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129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129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129"/>
      <c r="E23" s="277"/>
    </row>
    <row r="24" spans="1:5" s="230" customFormat="1" ht="12" customHeight="1" thickBot="1">
      <c r="A24" s="223" t="s">
        <v>76</v>
      </c>
      <c r="B24" s="6" t="s">
        <v>426</v>
      </c>
      <c r="C24" s="129"/>
      <c r="D24" s="129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4"/>
      <c r="E25" s="159"/>
    </row>
    <row r="26" spans="1:5" s="230" customFormat="1" ht="12" customHeight="1" thickBot="1">
      <c r="A26" s="83" t="s">
        <v>12</v>
      </c>
      <c r="B26" s="53" t="s">
        <v>427</v>
      </c>
      <c r="C26" s="132">
        <f>+C27+C28+C29</f>
        <v>0</v>
      </c>
      <c r="D26" s="132">
        <f>+D27+D28+D29</f>
        <v>0</v>
      </c>
      <c r="E26" s="160">
        <f>+E27+E28+E29</f>
        <v>0</v>
      </c>
    </row>
    <row r="27" spans="1:5" s="230" customFormat="1" ht="12" customHeight="1">
      <c r="A27" s="224" t="s">
        <v>189</v>
      </c>
      <c r="B27" s="225" t="s">
        <v>185</v>
      </c>
      <c r="C27" s="284"/>
      <c r="D27" s="284"/>
      <c r="E27" s="282"/>
    </row>
    <row r="28" spans="1:5" s="230" customFormat="1" ht="12" customHeight="1">
      <c r="A28" s="224" t="s">
        <v>190</v>
      </c>
      <c r="B28" s="225" t="s">
        <v>323</v>
      </c>
      <c r="C28" s="129"/>
      <c r="D28" s="129"/>
      <c r="E28" s="277"/>
    </row>
    <row r="29" spans="1:5" s="230" customFormat="1" ht="12" customHeight="1">
      <c r="A29" s="224" t="s">
        <v>191</v>
      </c>
      <c r="B29" s="226" t="s">
        <v>326</v>
      </c>
      <c r="C29" s="129"/>
      <c r="D29" s="129"/>
      <c r="E29" s="277"/>
    </row>
    <row r="30" spans="1:5" s="230" customFormat="1" ht="12" customHeight="1" thickBot="1">
      <c r="A30" s="223" t="s">
        <v>192</v>
      </c>
      <c r="B30" s="58" t="s">
        <v>428</v>
      </c>
      <c r="C30" s="44"/>
      <c r="D30" s="44"/>
      <c r="E30" s="333"/>
    </row>
    <row r="31" spans="1:5" s="230" customFormat="1" ht="12" customHeight="1" thickBot="1">
      <c r="A31" s="83" t="s">
        <v>13</v>
      </c>
      <c r="B31" s="53" t="s">
        <v>327</v>
      </c>
      <c r="C31" s="132">
        <f>+C32+C33+C34</f>
        <v>0</v>
      </c>
      <c r="D31" s="132">
        <f>+D32+D33+D34</f>
        <v>0</v>
      </c>
      <c r="E31" s="160">
        <f>+E32+E33+E34</f>
        <v>0</v>
      </c>
    </row>
    <row r="32" spans="1:5" s="230" customFormat="1" ht="12" customHeight="1">
      <c r="A32" s="224" t="s">
        <v>60</v>
      </c>
      <c r="B32" s="225" t="s">
        <v>212</v>
      </c>
      <c r="C32" s="284"/>
      <c r="D32" s="284"/>
      <c r="E32" s="282"/>
    </row>
    <row r="33" spans="1:5" s="230" customFormat="1" ht="12" customHeight="1">
      <c r="A33" s="224" t="s">
        <v>61</v>
      </c>
      <c r="B33" s="226" t="s">
        <v>213</v>
      </c>
      <c r="C33" s="133"/>
      <c r="D33" s="133"/>
      <c r="E33" s="279"/>
    </row>
    <row r="34" spans="1:5" s="230" customFormat="1" ht="12" customHeight="1" thickBot="1">
      <c r="A34" s="223" t="s">
        <v>62</v>
      </c>
      <c r="B34" s="58" t="s">
        <v>214</v>
      </c>
      <c r="C34" s="44"/>
      <c r="D34" s="44"/>
      <c r="E34" s="333"/>
    </row>
    <row r="35" spans="1:5" s="165" customFormat="1" ht="12" customHeight="1" thickBot="1">
      <c r="A35" s="83" t="s">
        <v>14</v>
      </c>
      <c r="B35" s="53" t="s">
        <v>297</v>
      </c>
      <c r="C35" s="334"/>
      <c r="D35" s="334"/>
      <c r="E35" s="159"/>
    </row>
    <row r="36" spans="1:5" s="165" customFormat="1" ht="12" customHeight="1" thickBot="1">
      <c r="A36" s="83" t="s">
        <v>15</v>
      </c>
      <c r="B36" s="53" t="s">
        <v>328</v>
      </c>
      <c r="C36" s="334"/>
      <c r="D36" s="334"/>
      <c r="E36" s="159"/>
    </row>
    <row r="37" spans="1:5" s="165" customFormat="1" ht="12" customHeight="1" thickBot="1">
      <c r="A37" s="78" t="s">
        <v>16</v>
      </c>
      <c r="B37" s="53" t="s">
        <v>329</v>
      </c>
      <c r="C37" s="132">
        <f>+C8+C20+C25+C26+C31+C35+C36</f>
        <v>0</v>
      </c>
      <c r="D37" s="132">
        <f>+D8+D20+D25+D26+D31+D35+D36</f>
        <v>0</v>
      </c>
      <c r="E37" s="160">
        <f>+E8+E20+E25+E26+E31+E35+E36</f>
        <v>0</v>
      </c>
    </row>
    <row r="38" spans="1:5" s="165" customFormat="1" ht="12" customHeight="1" thickBot="1">
      <c r="A38" s="89" t="s">
        <v>17</v>
      </c>
      <c r="B38" s="53" t="s">
        <v>330</v>
      </c>
      <c r="C38" s="132">
        <f>+C39+C40+C41</f>
        <v>0</v>
      </c>
      <c r="D38" s="132">
        <f>+D39+D40+D41</f>
        <v>0</v>
      </c>
      <c r="E38" s="160">
        <f>+E39+E40+E41</f>
        <v>0</v>
      </c>
    </row>
    <row r="39" spans="1:5" s="165" customFormat="1" ht="12" customHeight="1">
      <c r="A39" s="224" t="s">
        <v>331</v>
      </c>
      <c r="B39" s="225" t="s">
        <v>162</v>
      </c>
      <c r="C39" s="284"/>
      <c r="D39" s="284"/>
      <c r="E39" s="282"/>
    </row>
    <row r="40" spans="1:5" s="165" customFormat="1" ht="12" customHeight="1">
      <c r="A40" s="224" t="s">
        <v>332</v>
      </c>
      <c r="B40" s="226" t="s">
        <v>2</v>
      </c>
      <c r="C40" s="133"/>
      <c r="D40" s="133"/>
      <c r="E40" s="279"/>
    </row>
    <row r="41" spans="1:5" s="230" customFormat="1" ht="12" customHeight="1" thickBot="1">
      <c r="A41" s="223" t="s">
        <v>333</v>
      </c>
      <c r="B41" s="58" t="s">
        <v>334</v>
      </c>
      <c r="C41" s="44"/>
      <c r="D41" s="44"/>
      <c r="E41" s="333"/>
    </row>
    <row r="42" spans="1:5" s="230" customFormat="1" ht="15" customHeight="1" thickBot="1">
      <c r="A42" s="89" t="s">
        <v>18</v>
      </c>
      <c r="B42" s="90" t="s">
        <v>335</v>
      </c>
      <c r="C42" s="335">
        <f>+C37+C38</f>
        <v>0</v>
      </c>
      <c r="D42" s="335">
        <f>+D37+D38</f>
        <v>0</v>
      </c>
      <c r="E42" s="163">
        <f>+E37+E38</f>
        <v>0</v>
      </c>
    </row>
    <row r="43" spans="1:3" s="230" customFormat="1" ht="15" customHeight="1">
      <c r="A43" s="91"/>
      <c r="B43" s="92"/>
      <c r="C43" s="161"/>
    </row>
    <row r="44" spans="1:3" ht="13.5" thickBot="1">
      <c r="A44" s="93"/>
      <c r="B44" s="94"/>
      <c r="C44" s="162"/>
    </row>
    <row r="45" spans="1:5" s="229" customFormat="1" ht="16.5" customHeight="1" thickBot="1">
      <c r="A45" s="600" t="s">
        <v>44</v>
      </c>
      <c r="B45" s="601"/>
      <c r="C45" s="601"/>
      <c r="D45" s="601"/>
      <c r="E45" s="602"/>
    </row>
    <row r="46" spans="1:5" s="231" customFormat="1" ht="12" customHeight="1" thickBot="1">
      <c r="A46" s="83" t="s">
        <v>9</v>
      </c>
      <c r="B46" s="53" t="s">
        <v>336</v>
      </c>
      <c r="C46" s="132">
        <f>SUM(C47:C51)</f>
        <v>0</v>
      </c>
      <c r="D46" s="132">
        <f>SUM(D47:D51)</f>
        <v>0</v>
      </c>
      <c r="E46" s="160">
        <f>SUM(E47:E51)</f>
        <v>0</v>
      </c>
    </row>
    <row r="47" spans="1:5" ht="12" customHeight="1">
      <c r="A47" s="223" t="s">
        <v>67</v>
      </c>
      <c r="B47" s="7" t="s">
        <v>38</v>
      </c>
      <c r="C47" s="284"/>
      <c r="D47" s="284"/>
      <c r="E47" s="282"/>
    </row>
    <row r="48" spans="1:5" ht="12" customHeight="1">
      <c r="A48" s="223" t="s">
        <v>68</v>
      </c>
      <c r="B48" s="6" t="s">
        <v>128</v>
      </c>
      <c r="C48" s="43"/>
      <c r="D48" s="43"/>
      <c r="E48" s="280"/>
    </row>
    <row r="49" spans="1:5" ht="12" customHeight="1">
      <c r="A49" s="223" t="s">
        <v>69</v>
      </c>
      <c r="B49" s="6" t="s">
        <v>95</v>
      </c>
      <c r="C49" s="43"/>
      <c r="D49" s="43"/>
      <c r="E49" s="280"/>
    </row>
    <row r="50" spans="1:5" ht="12" customHeight="1">
      <c r="A50" s="223" t="s">
        <v>70</v>
      </c>
      <c r="B50" s="6" t="s">
        <v>129</v>
      </c>
      <c r="C50" s="43"/>
      <c r="D50" s="43"/>
      <c r="E50" s="280"/>
    </row>
    <row r="51" spans="1:5" ht="12" customHeight="1" thickBot="1">
      <c r="A51" s="223" t="s">
        <v>102</v>
      </c>
      <c r="B51" s="6" t="s">
        <v>130</v>
      </c>
      <c r="C51" s="43"/>
      <c r="D51" s="43"/>
      <c r="E51" s="280"/>
    </row>
    <row r="52" spans="1:5" ht="12" customHeight="1" thickBot="1">
      <c r="A52" s="83" t="s">
        <v>10</v>
      </c>
      <c r="B52" s="53" t="s">
        <v>337</v>
      </c>
      <c r="C52" s="132">
        <f>SUM(C53:C55)</f>
        <v>0</v>
      </c>
      <c r="D52" s="132">
        <f>SUM(D53:D55)</f>
        <v>0</v>
      </c>
      <c r="E52" s="160">
        <f>SUM(E53:E55)</f>
        <v>0</v>
      </c>
    </row>
    <row r="53" spans="1:5" s="231" customFormat="1" ht="12" customHeight="1">
      <c r="A53" s="223" t="s">
        <v>73</v>
      </c>
      <c r="B53" s="7" t="s">
        <v>156</v>
      </c>
      <c r="C53" s="284"/>
      <c r="D53" s="284"/>
      <c r="E53" s="282"/>
    </row>
    <row r="54" spans="1:5" ht="12" customHeight="1">
      <c r="A54" s="223" t="s">
        <v>74</v>
      </c>
      <c r="B54" s="6" t="s">
        <v>132</v>
      </c>
      <c r="C54" s="43"/>
      <c r="D54" s="43"/>
      <c r="E54" s="280"/>
    </row>
    <row r="55" spans="1:5" ht="12" customHeight="1">
      <c r="A55" s="223" t="s">
        <v>75</v>
      </c>
      <c r="B55" s="6" t="s">
        <v>45</v>
      </c>
      <c r="C55" s="43"/>
      <c r="D55" s="43"/>
      <c r="E55" s="280"/>
    </row>
    <row r="56" spans="1:5" ht="12" customHeight="1" thickBot="1">
      <c r="A56" s="223" t="s">
        <v>76</v>
      </c>
      <c r="B56" s="6" t="s">
        <v>429</v>
      </c>
      <c r="C56" s="43"/>
      <c r="D56" s="43"/>
      <c r="E56" s="280"/>
    </row>
    <row r="57" spans="1:5" ht="12" customHeight="1" thickBot="1">
      <c r="A57" s="83" t="s">
        <v>11</v>
      </c>
      <c r="B57" s="53" t="s">
        <v>5</v>
      </c>
      <c r="C57" s="334"/>
      <c r="D57" s="334"/>
      <c r="E57" s="159"/>
    </row>
    <row r="58" spans="1:5" ht="15" customHeight="1" thickBot="1">
      <c r="A58" s="83" t="s">
        <v>12</v>
      </c>
      <c r="B58" s="95" t="s">
        <v>433</v>
      </c>
      <c r="C58" s="335">
        <f>+C46+C52+C57</f>
        <v>0</v>
      </c>
      <c r="D58" s="335">
        <f>+D46+D52+D57</f>
        <v>0</v>
      </c>
      <c r="E58" s="163">
        <f>+E46+E52+E57</f>
        <v>0</v>
      </c>
    </row>
    <row r="59" spans="3:5" ht="13.5" thickBot="1">
      <c r="C59" s="447">
        <f>C42-C58</f>
        <v>0</v>
      </c>
      <c r="D59" s="447">
        <f>D42-D58</f>
        <v>0</v>
      </c>
      <c r="E59" s="164"/>
    </row>
    <row r="60" spans="1:5" ht="15" customHeight="1" thickBot="1">
      <c r="A60" s="340" t="s">
        <v>507</v>
      </c>
      <c r="B60" s="341"/>
      <c r="C60" s="329"/>
      <c r="D60" s="329"/>
      <c r="E60" s="328"/>
    </row>
    <row r="61" spans="1:5" ht="14.25" customHeight="1" thickBot="1">
      <c r="A61" s="342" t="s">
        <v>508</v>
      </c>
      <c r="B61" s="343"/>
      <c r="C61" s="329"/>
      <c r="D61" s="329"/>
      <c r="E61" s="328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zoomScale="120" zoomScaleNormal="120" workbookViewId="0" topLeftCell="A25">
      <selection activeCell="F40" sqref="F40"/>
    </sheetView>
  </sheetViews>
  <sheetFormatPr defaultColWidth="9.37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375" style="97" customWidth="1"/>
  </cols>
  <sheetData>
    <row r="1" spans="1:5" s="87" customFormat="1" ht="15.75" thickBot="1">
      <c r="A1" s="392"/>
      <c r="B1" s="604" t="str">
        <f>CONCATENATE("18. melléklet ",'[3]IB_ALAPADATOK'!B7," ",'[3]IB_ALAPADATOK'!C7," ",'[3]IB_ALAPADATOK'!D7," ",'[3]IB_ALAPADATOK'!E7)</f>
        <v>18. melléklet a 2022 I. félévi költségvetési tájékoztatóhoz</v>
      </c>
      <c r="C1" s="605"/>
      <c r="D1" s="605"/>
      <c r="E1" s="605"/>
    </row>
    <row r="2" spans="1:5" s="227" customFormat="1" ht="25.5" customHeight="1" thickBot="1">
      <c r="A2" s="393" t="s">
        <v>474</v>
      </c>
      <c r="B2" s="606" t="str">
        <f>CONCATENATE('[3]IB_ALAPADATOK'!B13)</f>
        <v>Balatonvilágosi Szivárvány Óvoda</v>
      </c>
      <c r="C2" s="607"/>
      <c r="D2" s="608"/>
      <c r="E2" s="394" t="s">
        <v>47</v>
      </c>
    </row>
    <row r="3" spans="1:5" s="227" customFormat="1" ht="23.25" thickBot="1">
      <c r="A3" s="393" t="s">
        <v>141</v>
      </c>
      <c r="B3" s="606" t="s">
        <v>319</v>
      </c>
      <c r="C3" s="607"/>
      <c r="D3" s="608"/>
      <c r="E3" s="394" t="s">
        <v>42</v>
      </c>
    </row>
    <row r="4" spans="1:5" s="228" customFormat="1" ht="15.75" customHeight="1" thickBot="1">
      <c r="A4" s="395"/>
      <c r="B4" s="395"/>
      <c r="C4" s="396"/>
      <c r="D4" s="397"/>
      <c r="E4" s="396" t="str">
        <f>'[3]17.sz.mell.'!E4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+CONCATENATE("Teljesítés",CHAR(10),LEFT('[3]IB_ÖSSZEFÜGGÉSEK'!A6,4),".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2790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3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2787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2450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>
        <v>2450</v>
      </c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13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5240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62404811</v>
      </c>
      <c r="D37" s="274">
        <f>+D38+D39+D40</f>
        <v>62499303</v>
      </c>
      <c r="E37" s="160">
        <f>+E38+E39+E40</f>
        <v>32832175</v>
      </c>
    </row>
    <row r="38" spans="1:5" s="165" customFormat="1" ht="12" customHeight="1">
      <c r="A38" s="224" t="s">
        <v>331</v>
      </c>
      <c r="B38" s="225" t="s">
        <v>162</v>
      </c>
      <c r="C38" s="284">
        <v>2381703</v>
      </c>
      <c r="D38" s="55">
        <v>2316175</v>
      </c>
      <c r="E38" s="282">
        <v>2316175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60023108</v>
      </c>
      <c r="D40" s="338">
        <v>60183128</v>
      </c>
      <c r="E40" s="333">
        <v>30516000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62404811</v>
      </c>
      <c r="D41" s="331">
        <f>+D36+D37</f>
        <v>62499303</v>
      </c>
      <c r="E41" s="163">
        <f>+E36+E37</f>
        <v>32837415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0" t="s">
        <v>44</v>
      </c>
      <c r="B44" s="601"/>
      <c r="C44" s="601"/>
      <c r="D44" s="601"/>
      <c r="E44" s="60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61741811</v>
      </c>
      <c r="D45" s="274">
        <f>SUM(D46:D50)</f>
        <v>61562303</v>
      </c>
      <c r="E45" s="160">
        <f>SUM(E46:E50)</f>
        <v>26007600</v>
      </c>
    </row>
    <row r="46" spans="1:5" ht="12" customHeight="1">
      <c r="A46" s="223" t="s">
        <v>67</v>
      </c>
      <c r="B46" s="7" t="s">
        <v>38</v>
      </c>
      <c r="C46" s="284">
        <v>48215611</v>
      </c>
      <c r="D46" s="55">
        <v>48150083</v>
      </c>
      <c r="E46" s="282">
        <v>20771125</v>
      </c>
    </row>
    <row r="47" spans="1:5" ht="12" customHeight="1">
      <c r="A47" s="223" t="s">
        <v>68</v>
      </c>
      <c r="B47" s="6" t="s">
        <v>128</v>
      </c>
      <c r="C47" s="43">
        <v>6966200</v>
      </c>
      <c r="D47" s="56">
        <v>6966200</v>
      </c>
      <c r="E47" s="280">
        <v>3387549</v>
      </c>
    </row>
    <row r="48" spans="1:5" ht="12" customHeight="1">
      <c r="A48" s="223" t="s">
        <v>69</v>
      </c>
      <c r="B48" s="6" t="s">
        <v>95</v>
      </c>
      <c r="C48" s="43">
        <v>6560000</v>
      </c>
      <c r="D48" s="56">
        <v>6446020</v>
      </c>
      <c r="E48" s="280">
        <v>1848926</v>
      </c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663000</v>
      </c>
      <c r="D51" s="274">
        <f>SUM(D52:D54)</f>
        <v>937000</v>
      </c>
      <c r="E51" s="160">
        <f>SUM(E52:E54)</f>
        <v>679690</v>
      </c>
    </row>
    <row r="52" spans="1:5" s="231" customFormat="1" ht="12" customHeight="1">
      <c r="A52" s="223" t="s">
        <v>73</v>
      </c>
      <c r="B52" s="7" t="s">
        <v>156</v>
      </c>
      <c r="C52" s="284">
        <v>663000</v>
      </c>
      <c r="D52" s="55">
        <v>937000</v>
      </c>
      <c r="E52" s="282">
        <v>679690</v>
      </c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62404811</v>
      </c>
      <c r="D57" s="331">
        <f>+D45+D51+D56</f>
        <v>62499303</v>
      </c>
      <c r="E57" s="163">
        <f>+E45+E51+E56</f>
        <v>26687290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>
        <v>11</v>
      </c>
      <c r="D59" s="329"/>
      <c r="E59" s="328">
        <v>11</v>
      </c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zoomScale="120" zoomScaleNormal="120" workbookViewId="0" topLeftCell="A43">
      <selection activeCell="A43" sqref="A1:IV16384"/>
    </sheetView>
  </sheetViews>
  <sheetFormatPr defaultColWidth="9.37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375" style="97" customWidth="1"/>
  </cols>
  <sheetData>
    <row r="1" spans="1:5" s="87" customFormat="1" ht="15.75" thickBot="1">
      <c r="A1" s="392"/>
      <c r="B1" s="611" t="str">
        <f>CONCATENATE("19. melléklet ",'[3]IB_ALAPADATOK'!B7," ",'[3]IB_ALAPADATOK'!C7," ",'[3]IB_ALAPADATOK'!D7," ",'[3]IB_ALAPADATOK'!E7)</f>
        <v>19. melléklet a 2022 I. félévi költségvetési tájékoztatóhoz</v>
      </c>
      <c r="C1" s="612"/>
      <c r="D1" s="612"/>
      <c r="E1" s="612"/>
    </row>
    <row r="2" spans="1:5" s="227" customFormat="1" ht="25.5" customHeight="1" thickBot="1">
      <c r="A2" s="393" t="s">
        <v>474</v>
      </c>
      <c r="B2" s="606" t="str">
        <f>CONCATENATE('[3]18.sz.mell.'!B2:D2)</f>
        <v>Balatonvilágosi Szivárvány Óvoda</v>
      </c>
      <c r="C2" s="607"/>
      <c r="D2" s="608"/>
      <c r="E2" s="394" t="s">
        <v>47</v>
      </c>
    </row>
    <row r="3" spans="1:5" s="227" customFormat="1" ht="23.25" thickBot="1">
      <c r="A3" s="393" t="s">
        <v>141</v>
      </c>
      <c r="B3" s="606" t="s">
        <v>338</v>
      </c>
      <c r="C3" s="607"/>
      <c r="D3" s="608"/>
      <c r="E3" s="394" t="s">
        <v>46</v>
      </c>
    </row>
    <row r="4" spans="1:5" s="228" customFormat="1" ht="15.75" customHeight="1" thickBot="1">
      <c r="A4" s="395"/>
      <c r="B4" s="395"/>
      <c r="C4" s="396"/>
      <c r="D4" s="397"/>
      <c r="E4" s="396" t="str">
        <f>'[3]18.sz.mell.'!E4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+CONCATENATE("Teljesítés",CHAR(10),LEFT('[3]IB_ÖSSZEFÜGGÉSEK'!A6,4),".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2790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>
        <v>3</v>
      </c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>
        <v>2787</v>
      </c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2450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>
        <v>2450</v>
      </c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13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5240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62404811</v>
      </c>
      <c r="D37" s="274">
        <f>+D38+D39+D40</f>
        <v>62499303</v>
      </c>
      <c r="E37" s="160">
        <f>+E38+E39+E40</f>
        <v>32832175</v>
      </c>
    </row>
    <row r="38" spans="1:5" s="165" customFormat="1" ht="12" customHeight="1">
      <c r="A38" s="224" t="s">
        <v>331</v>
      </c>
      <c r="B38" s="225" t="s">
        <v>162</v>
      </c>
      <c r="C38" s="284">
        <v>2381703</v>
      </c>
      <c r="D38" s="55">
        <v>2316175</v>
      </c>
      <c r="E38" s="282">
        <v>2316175</v>
      </c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>
        <v>60023108</v>
      </c>
      <c r="D40" s="338">
        <v>60183128</v>
      </c>
      <c r="E40" s="333">
        <v>30516000</v>
      </c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62404811</v>
      </c>
      <c r="D41" s="331">
        <f>+D36+D37</f>
        <v>62499303</v>
      </c>
      <c r="E41" s="163">
        <f>+E36+E37</f>
        <v>32837415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0" t="s">
        <v>44</v>
      </c>
      <c r="B44" s="601"/>
      <c r="C44" s="601"/>
      <c r="D44" s="601"/>
      <c r="E44" s="60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61741811</v>
      </c>
      <c r="D45" s="274">
        <f>SUM(D46:D50)</f>
        <v>61562303</v>
      </c>
      <c r="E45" s="160">
        <f>SUM(E46:E50)</f>
        <v>26007600</v>
      </c>
    </row>
    <row r="46" spans="1:5" ht="12" customHeight="1">
      <c r="A46" s="223" t="s">
        <v>67</v>
      </c>
      <c r="B46" s="7" t="s">
        <v>38</v>
      </c>
      <c r="C46" s="284">
        <v>48215611</v>
      </c>
      <c r="D46" s="284">
        <v>48150083</v>
      </c>
      <c r="E46" s="282">
        <v>20771125</v>
      </c>
    </row>
    <row r="47" spans="1:5" ht="12" customHeight="1">
      <c r="A47" s="223" t="s">
        <v>68</v>
      </c>
      <c r="B47" s="6" t="s">
        <v>128</v>
      </c>
      <c r="C47" s="43">
        <v>6966200</v>
      </c>
      <c r="D47" s="43">
        <v>6966200</v>
      </c>
      <c r="E47" s="280">
        <v>3387549</v>
      </c>
    </row>
    <row r="48" spans="1:5" ht="12" customHeight="1">
      <c r="A48" s="223" t="s">
        <v>69</v>
      </c>
      <c r="B48" s="6" t="s">
        <v>95</v>
      </c>
      <c r="C48" s="43">
        <v>6560000</v>
      </c>
      <c r="D48" s="43">
        <v>6446020</v>
      </c>
      <c r="E48" s="280">
        <v>1848926</v>
      </c>
    </row>
    <row r="49" spans="1:5" ht="12" customHeight="1">
      <c r="A49" s="223" t="s">
        <v>70</v>
      </c>
      <c r="B49" s="6" t="s">
        <v>129</v>
      </c>
      <c r="C49" s="43"/>
      <c r="D49" s="43"/>
      <c r="E49" s="280"/>
    </row>
    <row r="50" spans="1:5" ht="12" customHeight="1" thickBot="1">
      <c r="A50" s="223" t="s">
        <v>102</v>
      </c>
      <c r="B50" s="6" t="s">
        <v>130</v>
      </c>
      <c r="C50" s="43"/>
      <c r="D50" s="43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663000</v>
      </c>
      <c r="D51" s="274">
        <f>SUM(D52:D54)</f>
        <v>937000</v>
      </c>
      <c r="E51" s="160">
        <f>SUM(E52:E54)</f>
        <v>679690</v>
      </c>
    </row>
    <row r="52" spans="1:5" s="231" customFormat="1" ht="12" customHeight="1">
      <c r="A52" s="223" t="s">
        <v>73</v>
      </c>
      <c r="B52" s="7" t="s">
        <v>156</v>
      </c>
      <c r="C52" s="284">
        <v>663000</v>
      </c>
      <c r="D52" s="284">
        <v>937000</v>
      </c>
      <c r="E52" s="282">
        <v>679690</v>
      </c>
    </row>
    <row r="53" spans="1:5" ht="12" customHeight="1">
      <c r="A53" s="223" t="s">
        <v>74</v>
      </c>
      <c r="B53" s="6" t="s">
        <v>132</v>
      </c>
      <c r="C53" s="43"/>
      <c r="D53" s="43"/>
      <c r="E53" s="280"/>
    </row>
    <row r="54" spans="1:5" ht="12" customHeight="1">
      <c r="A54" s="223" t="s">
        <v>75</v>
      </c>
      <c r="B54" s="6" t="s">
        <v>45</v>
      </c>
      <c r="C54" s="43"/>
      <c r="D54" s="43"/>
      <c r="E54" s="280"/>
    </row>
    <row r="55" spans="1:5" ht="12" customHeight="1" thickBot="1">
      <c r="A55" s="223" t="s">
        <v>76</v>
      </c>
      <c r="B55" s="6" t="s">
        <v>429</v>
      </c>
      <c r="C55" s="43"/>
      <c r="D55" s="43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62404811</v>
      </c>
      <c r="D57" s="331">
        <f>+D45+D51+D56</f>
        <v>62499303</v>
      </c>
      <c r="E57" s="163">
        <f>+E45+E51+E56</f>
        <v>26687290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>
        <v>11</v>
      </c>
      <c r="D59" s="329"/>
      <c r="E59" s="328">
        <v>11</v>
      </c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zoomScale="120" zoomScaleNormal="120" workbookViewId="0" topLeftCell="A25">
      <selection activeCell="B2" sqref="B2:D2"/>
    </sheetView>
  </sheetViews>
  <sheetFormatPr defaultColWidth="9.37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375" style="97" customWidth="1"/>
  </cols>
  <sheetData>
    <row r="1" spans="1:5" s="87" customFormat="1" ht="15.75" thickBot="1">
      <c r="A1" s="392"/>
      <c r="B1" s="611" t="str">
        <f>CONCATENATE("20. melléklet ",IB_ALAPADATOK!B7," ",IB_ALAPADATOK!C7," ",IB_ALAPADATOK!D7," ",IB_ALAPADATOK!E7)</f>
        <v>20. melléklet a 2022 I. félévi költségvetési tájékoztatóhoz</v>
      </c>
      <c r="C1" s="612"/>
      <c r="D1" s="612"/>
      <c r="E1" s="612"/>
    </row>
    <row r="2" spans="1:5" s="227" customFormat="1" ht="25.5" customHeight="1" thickBot="1">
      <c r="A2" s="393" t="s">
        <v>474</v>
      </c>
      <c r="B2" s="606" t="str">
        <f>CONCATENATE('19.sz.mell.'!B2:D2)</f>
        <v>Balatonvilágosi Szivárvány Óvoda</v>
      </c>
      <c r="C2" s="607"/>
      <c r="D2" s="608"/>
      <c r="E2" s="394" t="s">
        <v>47</v>
      </c>
    </row>
    <row r="3" spans="1:5" s="227" customFormat="1" ht="23.25" thickBot="1">
      <c r="A3" s="393" t="s">
        <v>141</v>
      </c>
      <c r="B3" s="606" t="s">
        <v>339</v>
      </c>
      <c r="C3" s="607"/>
      <c r="D3" s="608"/>
      <c r="E3" s="394" t="s">
        <v>47</v>
      </c>
    </row>
    <row r="4" spans="1:5" s="228" customFormat="1" ht="15.75" customHeight="1" thickBot="1">
      <c r="A4" s="395"/>
      <c r="B4" s="395"/>
      <c r="C4" s="396"/>
      <c r="D4" s="397"/>
      <c r="E4" s="396" t="str">
        <f>'19.sz.mell.'!E4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13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0" t="s">
        <v>44</v>
      </c>
      <c r="B44" s="601"/>
      <c r="C44" s="601"/>
      <c r="D44" s="601"/>
      <c r="E44" s="60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/>
      <c r="D59" s="329"/>
      <c r="E59" s="328"/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60"/>
  <sheetViews>
    <sheetView zoomScale="120" zoomScaleNormal="120" workbookViewId="0" topLeftCell="A43">
      <selection activeCell="B2" sqref="B2:D2"/>
    </sheetView>
  </sheetViews>
  <sheetFormatPr defaultColWidth="9.37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375" style="97" customWidth="1"/>
  </cols>
  <sheetData>
    <row r="1" spans="1:5" s="87" customFormat="1" ht="15.75" thickBot="1">
      <c r="A1" s="392"/>
      <c r="B1" s="611" t="str">
        <f>CONCATENATE("21. melléklet ",IB_ALAPADATOK!B7," ",IB_ALAPADATOK!C7," ",IB_ALAPADATOK!D7," ",IB_ALAPADATOK!E7)</f>
        <v>21. melléklet a 2022 I. félévi költségvetési tájékoztatóhoz</v>
      </c>
      <c r="C1" s="612"/>
      <c r="D1" s="612"/>
      <c r="E1" s="612"/>
    </row>
    <row r="2" spans="1:5" s="227" customFormat="1" ht="23.25" thickBot="1">
      <c r="A2" s="393" t="s">
        <v>474</v>
      </c>
      <c r="B2" s="606" t="str">
        <f>CONCATENATE('20.sz.mell.'!B2:D2)</f>
        <v>Balatonvilágosi Szivárvány Óvoda</v>
      </c>
      <c r="C2" s="607"/>
      <c r="D2" s="608"/>
      <c r="E2" s="394" t="s">
        <v>47</v>
      </c>
    </row>
    <row r="3" spans="1:5" s="227" customFormat="1" ht="23.25" thickBot="1">
      <c r="A3" s="393" t="s">
        <v>141</v>
      </c>
      <c r="B3" s="606" t="s">
        <v>434</v>
      </c>
      <c r="C3" s="607"/>
      <c r="D3" s="608"/>
      <c r="E3" s="394" t="s">
        <v>348</v>
      </c>
    </row>
    <row r="4" spans="1:5" s="228" customFormat="1" ht="15.75" customHeight="1" thickBot="1">
      <c r="A4" s="395"/>
      <c r="B4" s="395"/>
      <c r="C4" s="396"/>
      <c r="D4" s="397"/>
      <c r="E4" s="396" t="str">
        <f>'20.sz.mell.'!E4</f>
        <v> Forintban!</v>
      </c>
    </row>
    <row r="5" spans="1:5" ht="23.25" thickBot="1">
      <c r="A5" s="398" t="s">
        <v>142</v>
      </c>
      <c r="B5" s="399" t="s">
        <v>506</v>
      </c>
      <c r="C5" s="399" t="s">
        <v>472</v>
      </c>
      <c r="D5" s="400" t="s">
        <v>473</v>
      </c>
      <c r="E5" s="381" t="str">
        <f>+CONCATENATE("Teljesítés",CHAR(10),LEFT(IB_ÖSSZEFÜGGÉSEK!A6,4),". VI. 30.")</f>
        <v>Teljesítés
2022. VI. 30.</v>
      </c>
    </row>
    <row r="6" spans="1:5" s="229" customFormat="1" ht="12.75" customHeight="1" thickBot="1">
      <c r="A6" s="431" t="s">
        <v>404</v>
      </c>
      <c r="B6" s="432" t="s">
        <v>405</v>
      </c>
      <c r="C6" s="432" t="s">
        <v>406</v>
      </c>
      <c r="D6" s="433" t="s">
        <v>408</v>
      </c>
      <c r="E6" s="434" t="s">
        <v>407</v>
      </c>
    </row>
    <row r="7" spans="1:5" s="229" customFormat="1" ht="15.75" customHeight="1" thickBot="1">
      <c r="A7" s="600" t="s">
        <v>43</v>
      </c>
      <c r="B7" s="601"/>
      <c r="C7" s="601"/>
      <c r="D7" s="601"/>
      <c r="E7" s="602"/>
    </row>
    <row r="8" spans="1:5" s="165" customFormat="1" ht="12" customHeight="1" thickBot="1">
      <c r="A8" s="78" t="s">
        <v>9</v>
      </c>
      <c r="B8" s="88" t="s">
        <v>425</v>
      </c>
      <c r="C8" s="132">
        <f>SUM(C9:C19)</f>
        <v>0</v>
      </c>
      <c r="D8" s="132">
        <f>SUM(D9:D19)</f>
        <v>0</v>
      </c>
      <c r="E8" s="134">
        <f>SUM(E9:E19)</f>
        <v>0</v>
      </c>
    </row>
    <row r="9" spans="1:5" s="165" customFormat="1" ht="12" customHeight="1">
      <c r="A9" s="222" t="s">
        <v>67</v>
      </c>
      <c r="B9" s="8" t="s">
        <v>198</v>
      </c>
      <c r="C9" s="285"/>
      <c r="D9" s="285"/>
      <c r="E9" s="332"/>
    </row>
    <row r="10" spans="1:5" s="165" customFormat="1" ht="12" customHeight="1">
      <c r="A10" s="223" t="s">
        <v>68</v>
      </c>
      <c r="B10" s="6" t="s">
        <v>199</v>
      </c>
      <c r="C10" s="129"/>
      <c r="D10" s="272"/>
      <c r="E10" s="277"/>
    </row>
    <row r="11" spans="1:5" s="165" customFormat="1" ht="12" customHeight="1">
      <c r="A11" s="223" t="s">
        <v>69</v>
      </c>
      <c r="B11" s="6" t="s">
        <v>200</v>
      </c>
      <c r="C11" s="129"/>
      <c r="D11" s="272"/>
      <c r="E11" s="277"/>
    </row>
    <row r="12" spans="1:5" s="165" customFormat="1" ht="12" customHeight="1">
      <c r="A12" s="223" t="s">
        <v>70</v>
      </c>
      <c r="B12" s="6" t="s">
        <v>201</v>
      </c>
      <c r="C12" s="129"/>
      <c r="D12" s="272"/>
      <c r="E12" s="277"/>
    </row>
    <row r="13" spans="1:5" s="165" customFormat="1" ht="12" customHeight="1">
      <c r="A13" s="223" t="s">
        <v>102</v>
      </c>
      <c r="B13" s="6" t="s">
        <v>202</v>
      </c>
      <c r="C13" s="129"/>
      <c r="D13" s="272"/>
      <c r="E13" s="277"/>
    </row>
    <row r="14" spans="1:5" s="165" customFormat="1" ht="12" customHeight="1">
      <c r="A14" s="223" t="s">
        <v>71</v>
      </c>
      <c r="B14" s="6" t="s">
        <v>320</v>
      </c>
      <c r="C14" s="129"/>
      <c r="D14" s="272"/>
      <c r="E14" s="277"/>
    </row>
    <row r="15" spans="1:5" s="165" customFormat="1" ht="12" customHeight="1">
      <c r="A15" s="223" t="s">
        <v>72</v>
      </c>
      <c r="B15" s="5" t="s">
        <v>321</v>
      </c>
      <c r="C15" s="129"/>
      <c r="D15" s="272"/>
      <c r="E15" s="277"/>
    </row>
    <row r="16" spans="1:5" s="165" customFormat="1" ht="12" customHeight="1">
      <c r="A16" s="223" t="s">
        <v>80</v>
      </c>
      <c r="B16" s="6" t="s">
        <v>205</v>
      </c>
      <c r="C16" s="283"/>
      <c r="D16" s="337"/>
      <c r="E16" s="281"/>
    </row>
    <row r="17" spans="1:5" s="230" customFormat="1" ht="12" customHeight="1">
      <c r="A17" s="223" t="s">
        <v>81</v>
      </c>
      <c r="B17" s="6" t="s">
        <v>206</v>
      </c>
      <c r="C17" s="129"/>
      <c r="D17" s="272"/>
      <c r="E17" s="277"/>
    </row>
    <row r="18" spans="1:5" s="230" customFormat="1" ht="12" customHeight="1">
      <c r="A18" s="223" t="s">
        <v>82</v>
      </c>
      <c r="B18" s="6" t="s">
        <v>353</v>
      </c>
      <c r="C18" s="131"/>
      <c r="D18" s="273"/>
      <c r="E18" s="278"/>
    </row>
    <row r="19" spans="1:5" s="230" customFormat="1" ht="12" customHeight="1" thickBot="1">
      <c r="A19" s="223" t="s">
        <v>83</v>
      </c>
      <c r="B19" s="5" t="s">
        <v>207</v>
      </c>
      <c r="C19" s="131"/>
      <c r="D19" s="273"/>
      <c r="E19" s="278"/>
    </row>
    <row r="20" spans="1:5" s="165" customFormat="1" ht="12" customHeight="1" thickBot="1">
      <c r="A20" s="78" t="s">
        <v>10</v>
      </c>
      <c r="B20" s="88" t="s">
        <v>322</v>
      </c>
      <c r="C20" s="132">
        <f>SUM(C21:C23)</f>
        <v>0</v>
      </c>
      <c r="D20" s="274">
        <f>SUM(D21:D23)</f>
        <v>0</v>
      </c>
      <c r="E20" s="160">
        <f>SUM(E21:E23)</f>
        <v>0</v>
      </c>
    </row>
    <row r="21" spans="1:5" s="230" customFormat="1" ht="12" customHeight="1">
      <c r="A21" s="223" t="s">
        <v>73</v>
      </c>
      <c r="B21" s="7" t="s">
        <v>180</v>
      </c>
      <c r="C21" s="129"/>
      <c r="D21" s="272"/>
      <c r="E21" s="277"/>
    </row>
    <row r="22" spans="1:5" s="230" customFormat="1" ht="12" customHeight="1">
      <c r="A22" s="223" t="s">
        <v>74</v>
      </c>
      <c r="B22" s="6" t="s">
        <v>323</v>
      </c>
      <c r="C22" s="129"/>
      <c r="D22" s="272"/>
      <c r="E22" s="277"/>
    </row>
    <row r="23" spans="1:5" s="230" customFormat="1" ht="12" customHeight="1">
      <c r="A23" s="223" t="s">
        <v>75</v>
      </c>
      <c r="B23" s="6" t="s">
        <v>324</v>
      </c>
      <c r="C23" s="129"/>
      <c r="D23" s="272"/>
      <c r="E23" s="277"/>
    </row>
    <row r="24" spans="1:5" s="230" customFormat="1" ht="12" customHeight="1" thickBot="1">
      <c r="A24" s="223" t="s">
        <v>76</v>
      </c>
      <c r="B24" s="6" t="s">
        <v>430</v>
      </c>
      <c r="C24" s="129"/>
      <c r="D24" s="272"/>
      <c r="E24" s="277"/>
    </row>
    <row r="25" spans="1:5" s="230" customFormat="1" ht="12" customHeight="1" thickBot="1">
      <c r="A25" s="83" t="s">
        <v>11</v>
      </c>
      <c r="B25" s="53" t="s">
        <v>119</v>
      </c>
      <c r="C25" s="334"/>
      <c r="D25" s="336"/>
      <c r="E25" s="159"/>
    </row>
    <row r="26" spans="1:5" s="230" customFormat="1" ht="12" customHeight="1" thickBot="1">
      <c r="A26" s="83" t="s">
        <v>12</v>
      </c>
      <c r="B26" s="53" t="s">
        <v>325</v>
      </c>
      <c r="C26" s="132">
        <f>+C27+C28</f>
        <v>0</v>
      </c>
      <c r="D26" s="274">
        <f>+D27+D28</f>
        <v>0</v>
      </c>
      <c r="E26" s="160">
        <f>+E27+E28</f>
        <v>0</v>
      </c>
    </row>
    <row r="27" spans="1:5" s="230" customFormat="1" ht="12" customHeight="1">
      <c r="A27" s="224" t="s">
        <v>189</v>
      </c>
      <c r="B27" s="225" t="s">
        <v>323</v>
      </c>
      <c r="C27" s="284"/>
      <c r="D27" s="55"/>
      <c r="E27" s="282"/>
    </row>
    <row r="28" spans="1:5" s="230" customFormat="1" ht="13.5">
      <c r="A28" s="224" t="s">
        <v>190</v>
      </c>
      <c r="B28" s="226" t="s">
        <v>326</v>
      </c>
      <c r="C28" s="133"/>
      <c r="D28" s="275"/>
      <c r="E28" s="279"/>
    </row>
    <row r="29" spans="1:5" s="230" customFormat="1" ht="12" customHeight="1" thickBot="1">
      <c r="A29" s="223" t="s">
        <v>191</v>
      </c>
      <c r="B29" s="58" t="s">
        <v>431</v>
      </c>
      <c r="C29" s="44"/>
      <c r="D29" s="338"/>
      <c r="E29" s="333"/>
    </row>
    <row r="30" spans="1:5" s="230" customFormat="1" ht="12" customHeight="1" thickBot="1">
      <c r="A30" s="83" t="s">
        <v>13</v>
      </c>
      <c r="B30" s="53" t="s">
        <v>327</v>
      </c>
      <c r="C30" s="132">
        <f>+C31+C32+C33</f>
        <v>0</v>
      </c>
      <c r="D30" s="274">
        <f>+D31+D32+D33</f>
        <v>0</v>
      </c>
      <c r="E30" s="160">
        <f>+E31+E32+E33</f>
        <v>0</v>
      </c>
    </row>
    <row r="31" spans="1:5" s="230" customFormat="1" ht="12" customHeight="1">
      <c r="A31" s="224" t="s">
        <v>60</v>
      </c>
      <c r="B31" s="225" t="s">
        <v>212</v>
      </c>
      <c r="C31" s="284"/>
      <c r="D31" s="55"/>
      <c r="E31" s="282"/>
    </row>
    <row r="32" spans="1:5" s="230" customFormat="1" ht="12" customHeight="1">
      <c r="A32" s="224" t="s">
        <v>61</v>
      </c>
      <c r="B32" s="226" t="s">
        <v>213</v>
      </c>
      <c r="C32" s="133"/>
      <c r="D32" s="275"/>
      <c r="E32" s="279"/>
    </row>
    <row r="33" spans="1:5" s="230" customFormat="1" ht="12" customHeight="1" thickBot="1">
      <c r="A33" s="223" t="s">
        <v>62</v>
      </c>
      <c r="B33" s="58" t="s">
        <v>214</v>
      </c>
      <c r="C33" s="44"/>
      <c r="D33" s="338"/>
      <c r="E33" s="333"/>
    </row>
    <row r="34" spans="1:5" s="165" customFormat="1" ht="12" customHeight="1" thickBot="1">
      <c r="A34" s="83" t="s">
        <v>14</v>
      </c>
      <c r="B34" s="53" t="s">
        <v>297</v>
      </c>
      <c r="C34" s="334"/>
      <c r="D34" s="336"/>
      <c r="E34" s="159"/>
    </row>
    <row r="35" spans="1:5" s="165" customFormat="1" ht="12" customHeight="1" thickBot="1">
      <c r="A35" s="83" t="s">
        <v>15</v>
      </c>
      <c r="B35" s="53" t="s">
        <v>328</v>
      </c>
      <c r="C35" s="334"/>
      <c r="D35" s="336"/>
      <c r="E35" s="159"/>
    </row>
    <row r="36" spans="1:5" s="165" customFormat="1" ht="12" customHeight="1" thickBot="1">
      <c r="A36" s="78" t="s">
        <v>16</v>
      </c>
      <c r="B36" s="53" t="s">
        <v>432</v>
      </c>
      <c r="C36" s="132">
        <f>+C8+C20+C25+C26+C30+C34+C35</f>
        <v>0</v>
      </c>
      <c r="D36" s="274">
        <f>+D8+D20+D25+D26+D30+D34+D35</f>
        <v>0</v>
      </c>
      <c r="E36" s="160">
        <f>+E8+E20+E25+E26+E30+E34+E35</f>
        <v>0</v>
      </c>
    </row>
    <row r="37" spans="1:5" s="165" customFormat="1" ht="12" customHeight="1" thickBot="1">
      <c r="A37" s="89" t="s">
        <v>17</v>
      </c>
      <c r="B37" s="53" t="s">
        <v>330</v>
      </c>
      <c r="C37" s="132">
        <f>+C38+C39+C40</f>
        <v>0</v>
      </c>
      <c r="D37" s="274">
        <f>+D38+D39+D40</f>
        <v>0</v>
      </c>
      <c r="E37" s="160">
        <f>+E38+E39+E40</f>
        <v>0</v>
      </c>
    </row>
    <row r="38" spans="1:5" s="165" customFormat="1" ht="12" customHeight="1">
      <c r="A38" s="224" t="s">
        <v>331</v>
      </c>
      <c r="B38" s="225" t="s">
        <v>162</v>
      </c>
      <c r="C38" s="284"/>
      <c r="D38" s="55"/>
      <c r="E38" s="282"/>
    </row>
    <row r="39" spans="1:5" s="165" customFormat="1" ht="12" customHeight="1">
      <c r="A39" s="224" t="s">
        <v>332</v>
      </c>
      <c r="B39" s="226" t="s">
        <v>2</v>
      </c>
      <c r="C39" s="133"/>
      <c r="D39" s="275"/>
      <c r="E39" s="279"/>
    </row>
    <row r="40" spans="1:5" s="230" customFormat="1" ht="12" customHeight="1" thickBot="1">
      <c r="A40" s="223" t="s">
        <v>333</v>
      </c>
      <c r="B40" s="58" t="s">
        <v>334</v>
      </c>
      <c r="C40" s="44"/>
      <c r="D40" s="338"/>
      <c r="E40" s="333"/>
    </row>
    <row r="41" spans="1:5" s="230" customFormat="1" ht="15" customHeight="1" thickBot="1">
      <c r="A41" s="89" t="s">
        <v>18</v>
      </c>
      <c r="B41" s="90" t="s">
        <v>335</v>
      </c>
      <c r="C41" s="335">
        <f>+C36+C37</f>
        <v>0</v>
      </c>
      <c r="D41" s="331">
        <f>+D36+D37</f>
        <v>0</v>
      </c>
      <c r="E41" s="163">
        <f>+E36+E37</f>
        <v>0</v>
      </c>
    </row>
    <row r="42" spans="1:3" s="230" customFormat="1" ht="15" customHeight="1">
      <c r="A42" s="91"/>
      <c r="B42" s="92"/>
      <c r="C42" s="161"/>
    </row>
    <row r="43" spans="1:3" ht="13.5" thickBot="1">
      <c r="A43" s="93"/>
      <c r="B43" s="94"/>
      <c r="C43" s="162"/>
    </row>
    <row r="44" spans="1:5" s="229" customFormat="1" ht="16.5" customHeight="1" thickBot="1">
      <c r="A44" s="600" t="s">
        <v>44</v>
      </c>
      <c r="B44" s="601"/>
      <c r="C44" s="601"/>
      <c r="D44" s="601"/>
      <c r="E44" s="602"/>
    </row>
    <row r="45" spans="1:5" s="231" customFormat="1" ht="12" customHeight="1" thickBot="1">
      <c r="A45" s="83" t="s">
        <v>9</v>
      </c>
      <c r="B45" s="53" t="s">
        <v>336</v>
      </c>
      <c r="C45" s="132">
        <f>SUM(C46:C50)</f>
        <v>0</v>
      </c>
      <c r="D45" s="274">
        <f>SUM(D46:D50)</f>
        <v>0</v>
      </c>
      <c r="E45" s="160">
        <f>SUM(E46:E50)</f>
        <v>0</v>
      </c>
    </row>
    <row r="46" spans="1:5" ht="12" customHeight="1">
      <c r="A46" s="223" t="s">
        <v>67</v>
      </c>
      <c r="B46" s="7" t="s">
        <v>38</v>
      </c>
      <c r="C46" s="284"/>
      <c r="D46" s="55"/>
      <c r="E46" s="282"/>
    </row>
    <row r="47" spans="1:5" ht="12" customHeight="1">
      <c r="A47" s="223" t="s">
        <v>68</v>
      </c>
      <c r="B47" s="6" t="s">
        <v>128</v>
      </c>
      <c r="C47" s="43"/>
      <c r="D47" s="56"/>
      <c r="E47" s="280"/>
    </row>
    <row r="48" spans="1:5" ht="12" customHeight="1">
      <c r="A48" s="223" t="s">
        <v>69</v>
      </c>
      <c r="B48" s="6" t="s">
        <v>95</v>
      </c>
      <c r="C48" s="43"/>
      <c r="D48" s="56"/>
      <c r="E48" s="280"/>
    </row>
    <row r="49" spans="1:5" ht="12" customHeight="1">
      <c r="A49" s="223" t="s">
        <v>70</v>
      </c>
      <c r="B49" s="6" t="s">
        <v>129</v>
      </c>
      <c r="C49" s="43"/>
      <c r="D49" s="56"/>
      <c r="E49" s="280"/>
    </row>
    <row r="50" spans="1:5" ht="12" customHeight="1" thickBot="1">
      <c r="A50" s="223" t="s">
        <v>102</v>
      </c>
      <c r="B50" s="6" t="s">
        <v>130</v>
      </c>
      <c r="C50" s="43"/>
      <c r="D50" s="56"/>
      <c r="E50" s="280"/>
    </row>
    <row r="51" spans="1:5" ht="12" customHeight="1" thickBot="1">
      <c r="A51" s="83" t="s">
        <v>10</v>
      </c>
      <c r="B51" s="53" t="s">
        <v>337</v>
      </c>
      <c r="C51" s="132">
        <f>SUM(C52:C54)</f>
        <v>0</v>
      </c>
      <c r="D51" s="274">
        <f>SUM(D52:D54)</f>
        <v>0</v>
      </c>
      <c r="E51" s="160">
        <f>SUM(E52:E54)</f>
        <v>0</v>
      </c>
    </row>
    <row r="52" spans="1:5" s="231" customFormat="1" ht="12" customHeight="1">
      <c r="A52" s="223" t="s">
        <v>73</v>
      </c>
      <c r="B52" s="7" t="s">
        <v>156</v>
      </c>
      <c r="C52" s="284"/>
      <c r="D52" s="55"/>
      <c r="E52" s="282"/>
    </row>
    <row r="53" spans="1:5" ht="12" customHeight="1">
      <c r="A53" s="223" t="s">
        <v>74</v>
      </c>
      <c r="B53" s="6" t="s">
        <v>132</v>
      </c>
      <c r="C53" s="43"/>
      <c r="D53" s="56"/>
      <c r="E53" s="280"/>
    </row>
    <row r="54" spans="1:5" ht="12" customHeight="1">
      <c r="A54" s="223" t="s">
        <v>75</v>
      </c>
      <c r="B54" s="6" t="s">
        <v>45</v>
      </c>
      <c r="C54" s="43"/>
      <c r="D54" s="56"/>
      <c r="E54" s="280"/>
    </row>
    <row r="55" spans="1:5" ht="12" customHeight="1" thickBot="1">
      <c r="A55" s="223" t="s">
        <v>76</v>
      </c>
      <c r="B55" s="6" t="s">
        <v>429</v>
      </c>
      <c r="C55" s="43"/>
      <c r="D55" s="56"/>
      <c r="E55" s="280"/>
    </row>
    <row r="56" spans="1:5" ht="15" customHeight="1" thickBot="1">
      <c r="A56" s="83" t="s">
        <v>11</v>
      </c>
      <c r="B56" s="53" t="s">
        <v>5</v>
      </c>
      <c r="C56" s="334"/>
      <c r="D56" s="336"/>
      <c r="E56" s="159"/>
    </row>
    <row r="57" spans="1:5" ht="13.5" thickBot="1">
      <c r="A57" s="83" t="s">
        <v>12</v>
      </c>
      <c r="B57" s="95" t="s">
        <v>433</v>
      </c>
      <c r="C57" s="335">
        <f>+C45+C51+C56</f>
        <v>0</v>
      </c>
      <c r="D57" s="331">
        <f>+D45+D51+D56</f>
        <v>0</v>
      </c>
      <c r="E57" s="163">
        <f>+E45+E51+E56</f>
        <v>0</v>
      </c>
    </row>
    <row r="58" spans="3:4" ht="15" customHeight="1" thickBot="1">
      <c r="C58" s="447">
        <f>C41-C57</f>
        <v>0</v>
      </c>
      <c r="D58" s="447">
        <f>D41-D57</f>
        <v>0</v>
      </c>
    </row>
    <row r="59" spans="1:5" ht="14.25" customHeight="1" thickBot="1">
      <c r="A59" s="340" t="s">
        <v>507</v>
      </c>
      <c r="B59" s="341"/>
      <c r="C59" s="329"/>
      <c r="D59" s="329"/>
      <c r="E59" s="328"/>
    </row>
    <row r="60" spans="1:5" ht="13.5" thickBot="1">
      <c r="A60" s="342" t="s">
        <v>508</v>
      </c>
      <c r="B60" s="343"/>
      <c r="C60" s="329"/>
      <c r="D60" s="329"/>
      <c r="E60" s="328"/>
    </row>
  </sheetData>
  <sheetProtection sheet="1"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="120" zoomScaleNormal="120" workbookViewId="0" topLeftCell="A2">
      <selection activeCell="F26" sqref="F25:F26"/>
    </sheetView>
  </sheetViews>
  <sheetFormatPr defaultColWidth="9.375" defaultRowHeight="12.75"/>
  <cols>
    <col min="1" max="1" width="5.50390625" style="30" customWidth="1"/>
    <col min="2" max="2" width="33.125" style="30" customWidth="1"/>
    <col min="3" max="3" width="12.375" style="30" customWidth="1"/>
    <col min="4" max="4" width="11.50390625" style="30" customWidth="1"/>
    <col min="5" max="5" width="11.375" style="30" customWidth="1"/>
    <col min="6" max="6" width="11.00390625" style="30" customWidth="1"/>
    <col min="7" max="7" width="14.375" style="30" customWidth="1"/>
    <col min="8" max="16384" width="9.375" style="30" customWidth="1"/>
  </cols>
  <sheetData>
    <row r="1" spans="2:7" ht="16.5" customHeight="1">
      <c r="B1" s="560" t="str">
        <f>CONCATENATE("22. melléklet ",IB_ALAPADATOK!B7," ",IB_ALAPADATOK!C7," ",IB_ALAPADATOK!D7," ",IB_ALAPADATOK!E7)</f>
        <v>22. melléklet a 2022 I. félévi költségvetési tájékoztatóhoz</v>
      </c>
      <c r="C1" s="560"/>
      <c r="D1" s="560"/>
      <c r="E1" s="560"/>
      <c r="F1" s="560"/>
      <c r="G1" s="560"/>
    </row>
    <row r="3" spans="1:7" ht="43.5" customHeight="1">
      <c r="A3" s="613" t="s">
        <v>3</v>
      </c>
      <c r="B3" s="613"/>
      <c r="C3" s="613"/>
      <c r="D3" s="613"/>
      <c r="E3" s="613"/>
      <c r="F3" s="613"/>
      <c r="G3" s="613"/>
    </row>
    <row r="5" spans="1:7" s="65" customFormat="1" ht="27" customHeight="1">
      <c r="A5" s="614" t="s">
        <v>521</v>
      </c>
      <c r="B5" s="615"/>
      <c r="C5" s="615"/>
      <c r="D5" s="615"/>
      <c r="E5" s="615"/>
      <c r="F5" s="615"/>
      <c r="G5" s="615"/>
    </row>
    <row r="6" spans="1:7" s="65" customFormat="1" ht="15">
      <c r="A6" s="64"/>
      <c r="B6" s="64"/>
      <c r="C6" s="64"/>
      <c r="D6" s="64"/>
      <c r="E6" s="64"/>
      <c r="F6" s="64"/>
      <c r="G6" s="64"/>
    </row>
    <row r="7" spans="1:7" s="66" customFormat="1" ht="12.75">
      <c r="A7" s="85"/>
      <c r="B7" s="85"/>
      <c r="C7" s="85"/>
      <c r="D7" s="85"/>
      <c r="E7" s="85"/>
      <c r="F7" s="85"/>
      <c r="G7" s="85"/>
    </row>
    <row r="8" spans="1:7" s="67" customFormat="1" ht="15" customHeight="1" thickBot="1">
      <c r="A8" s="114"/>
      <c r="B8" s="101"/>
      <c r="C8" s="101"/>
      <c r="D8" s="113"/>
      <c r="E8" s="101"/>
      <c r="F8" s="101"/>
      <c r="G8" s="344" t="str">
        <f>'21.sz.mell.'!E4</f>
        <v> Forintban!</v>
      </c>
    </row>
    <row r="9" spans="1:7" s="42" customFormat="1" ht="42" customHeight="1" thickBot="1">
      <c r="A9" s="75" t="s">
        <v>7</v>
      </c>
      <c r="B9" s="76" t="s">
        <v>143</v>
      </c>
      <c r="C9" s="76" t="s">
        <v>144</v>
      </c>
      <c r="D9" s="76" t="s">
        <v>145</v>
      </c>
      <c r="E9" s="76" t="s">
        <v>146</v>
      </c>
      <c r="F9" s="76" t="s">
        <v>147</v>
      </c>
      <c r="G9" s="77" t="s">
        <v>41</v>
      </c>
    </row>
    <row r="10" spans="1:7" ht="24" customHeight="1">
      <c r="A10" s="102" t="s">
        <v>9</v>
      </c>
      <c r="B10" s="81" t="s">
        <v>148</v>
      </c>
      <c r="C10" s="68"/>
      <c r="D10" s="68"/>
      <c r="E10" s="68"/>
      <c r="F10" s="68"/>
      <c r="G10" s="103">
        <f>SUM(C10:F10)</f>
        <v>0</v>
      </c>
    </row>
    <row r="11" spans="1:7" ht="24" customHeight="1">
      <c r="A11" s="104" t="s">
        <v>10</v>
      </c>
      <c r="B11" s="82" t="s">
        <v>149</v>
      </c>
      <c r="C11" s="69"/>
      <c r="D11" s="69"/>
      <c r="E11" s="69"/>
      <c r="F11" s="69"/>
      <c r="G11" s="105">
        <f aca="true" t="shared" si="0" ref="G11:G16">SUM(C11:F11)</f>
        <v>0</v>
      </c>
    </row>
    <row r="12" spans="1:7" ht="24" customHeight="1">
      <c r="A12" s="104" t="s">
        <v>11</v>
      </c>
      <c r="B12" s="82" t="s">
        <v>150</v>
      </c>
      <c r="C12" s="69"/>
      <c r="D12" s="69"/>
      <c r="E12" s="69"/>
      <c r="F12" s="69"/>
      <c r="G12" s="105">
        <f t="shared" si="0"/>
        <v>0</v>
      </c>
    </row>
    <row r="13" spans="1:7" ht="24" customHeight="1">
      <c r="A13" s="104" t="s">
        <v>12</v>
      </c>
      <c r="B13" s="82" t="s">
        <v>151</v>
      </c>
      <c r="C13" s="69"/>
      <c r="D13" s="69"/>
      <c r="E13" s="69"/>
      <c r="F13" s="69"/>
      <c r="G13" s="105">
        <f t="shared" si="0"/>
        <v>0</v>
      </c>
    </row>
    <row r="14" spans="1:7" ht="24" customHeight="1">
      <c r="A14" s="104" t="s">
        <v>13</v>
      </c>
      <c r="B14" s="82" t="s">
        <v>152</v>
      </c>
      <c r="C14" s="69"/>
      <c r="D14" s="69"/>
      <c r="E14" s="69"/>
      <c r="F14" s="69"/>
      <c r="G14" s="105">
        <f t="shared" si="0"/>
        <v>0</v>
      </c>
    </row>
    <row r="15" spans="1:7" ht="24" customHeight="1" thickBot="1">
      <c r="A15" s="106" t="s">
        <v>14</v>
      </c>
      <c r="B15" s="107" t="s">
        <v>153</v>
      </c>
      <c r="C15" s="70"/>
      <c r="D15" s="70"/>
      <c r="E15" s="70"/>
      <c r="F15" s="70"/>
      <c r="G15" s="108">
        <f t="shared" si="0"/>
        <v>0</v>
      </c>
    </row>
    <row r="16" spans="1:7" s="71" customFormat="1" ht="24" customHeight="1" thickBot="1">
      <c r="A16" s="109" t="s">
        <v>15</v>
      </c>
      <c r="B16" s="110" t="s">
        <v>41</v>
      </c>
      <c r="C16" s="111">
        <f>SUM(C10:C15)</f>
        <v>0</v>
      </c>
      <c r="D16" s="111">
        <f>SUM(D10:D15)</f>
        <v>0</v>
      </c>
      <c r="E16" s="111">
        <f>SUM(E10:E15)</f>
        <v>0</v>
      </c>
      <c r="F16" s="111">
        <f>SUM(F10:F15)</f>
        <v>0</v>
      </c>
      <c r="G16" s="112">
        <f t="shared" si="0"/>
        <v>0</v>
      </c>
    </row>
    <row r="17" s="66" customFormat="1" ht="12.75"/>
    <row r="18" s="66" customFormat="1" ht="12.75"/>
    <row r="19" s="66" customFormat="1" ht="12.75"/>
    <row r="20" spans="1:4" s="66" customFormat="1" ht="15">
      <c r="A20" s="616" t="s">
        <v>622</v>
      </c>
      <c r="B20" s="617"/>
      <c r="C20" s="617"/>
      <c r="D20" s="617"/>
    </row>
    <row r="21" s="66" customFormat="1" ht="12.75"/>
    <row r="22" spans="1:7" ht="12.75">
      <c r="A22" s="66"/>
      <c r="B22" s="66"/>
      <c r="C22" s="66"/>
      <c r="D22" s="66"/>
      <c r="E22" s="66"/>
      <c r="F22" s="66"/>
      <c r="G22" s="66"/>
    </row>
    <row r="23" spans="1:7" ht="12.75">
      <c r="A23" s="66"/>
      <c r="B23" s="66"/>
      <c r="C23" s="435"/>
      <c r="D23" s="435"/>
      <c r="E23" s="435"/>
      <c r="F23" s="435"/>
      <c r="G23" s="66"/>
    </row>
    <row r="24" spans="1:7" ht="13.5">
      <c r="A24" s="66"/>
      <c r="B24" s="66"/>
      <c r="C24" s="502"/>
      <c r="D24" s="503"/>
      <c r="E24" s="503"/>
      <c r="F24" s="503"/>
      <c r="G24" s="66"/>
    </row>
    <row r="25" spans="1:7" ht="13.5">
      <c r="A25" s="66"/>
      <c r="B25" s="66"/>
      <c r="C25" s="435"/>
      <c r="D25" s="436"/>
      <c r="E25" s="436"/>
      <c r="F25" s="435"/>
      <c r="G25" s="66"/>
    </row>
    <row r="26" spans="1:7" ht="13.5">
      <c r="A26" s="66"/>
      <c r="B26" s="66"/>
      <c r="C26" s="435"/>
      <c r="D26" s="436"/>
      <c r="E26" s="436"/>
      <c r="F26" s="435"/>
      <c r="G26" s="66"/>
    </row>
    <row r="27" spans="1:7" ht="12.75">
      <c r="A27" s="66"/>
      <c r="B27" s="66"/>
      <c r="C27" s="66"/>
      <c r="D27" s="66"/>
      <c r="E27" s="66"/>
      <c r="F27" s="66"/>
      <c r="G27" s="66"/>
    </row>
    <row r="28" spans="1:7" ht="12.75">
      <c r="A28" s="66"/>
      <c r="B28" s="66"/>
      <c r="C28" s="66"/>
      <c r="D28" s="66"/>
      <c r="E28" s="66"/>
      <c r="F28" s="66"/>
      <c r="G28" s="66"/>
    </row>
    <row r="29" spans="1:7" ht="12.75">
      <c r="A29" s="66"/>
      <c r="B29" s="66"/>
      <c r="C29" s="66"/>
      <c r="D29" s="66"/>
      <c r="E29" s="66"/>
      <c r="F29" s="66"/>
      <c r="G29" s="66"/>
    </row>
  </sheetData>
  <sheetProtection/>
  <mergeCells count="4">
    <mergeCell ref="A3:G3"/>
    <mergeCell ref="A5:G5"/>
    <mergeCell ref="B1:G1"/>
    <mergeCell ref="A20:D2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6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86" t="s">
        <v>537</v>
      </c>
      <c r="B1" s="84"/>
    </row>
    <row r="2" spans="1:2" ht="12.75">
      <c r="A2" s="84"/>
      <c r="B2" s="84"/>
    </row>
    <row r="3" spans="1:2" ht="12.75">
      <c r="A3" s="288"/>
      <c r="B3" s="288"/>
    </row>
    <row r="4" spans="1:2" ht="15">
      <c r="A4" s="86"/>
      <c r="B4" s="292"/>
    </row>
    <row r="5" spans="1:2" ht="15">
      <c r="A5" s="86"/>
      <c r="B5" s="292"/>
    </row>
    <row r="6" spans="1:2" s="63" customFormat="1" ht="15">
      <c r="A6" s="86" t="s">
        <v>594</v>
      </c>
      <c r="B6" s="288"/>
    </row>
    <row r="7" spans="1:2" s="63" customFormat="1" ht="12.75">
      <c r="A7" s="288"/>
      <c r="B7" s="288"/>
    </row>
    <row r="8" spans="1:2" s="63" customFormat="1" ht="12.75">
      <c r="A8" s="288"/>
      <c r="B8" s="288"/>
    </row>
    <row r="9" spans="1:2" ht="12.75">
      <c r="A9" s="288" t="s">
        <v>477</v>
      </c>
      <c r="B9" s="288" t="s">
        <v>443</v>
      </c>
    </row>
    <row r="10" spans="1:2" ht="12.75">
      <c r="A10" s="288" t="s">
        <v>475</v>
      </c>
      <c r="B10" s="288" t="s">
        <v>449</v>
      </c>
    </row>
    <row r="11" spans="1:2" ht="12.75">
      <c r="A11" s="288" t="s">
        <v>476</v>
      </c>
      <c r="B11" s="288" t="s">
        <v>450</v>
      </c>
    </row>
    <row r="12" spans="1:2" ht="12.75">
      <c r="A12" s="288"/>
      <c r="B12" s="288"/>
    </row>
    <row r="13" spans="1:2" ht="15">
      <c r="A13" s="86" t="str">
        <f>+CONCATENATE(LEFT(A6,4),". évi módosított előirányzat BEVÉTELEK")</f>
        <v>2022. évi módosított előirányzat BEVÉTELEK</v>
      </c>
      <c r="B13" s="292"/>
    </row>
    <row r="14" spans="1:2" ht="12.75">
      <c r="A14" s="288"/>
      <c r="B14" s="288"/>
    </row>
    <row r="15" spans="1:2" s="63" customFormat="1" ht="12.75">
      <c r="A15" s="288" t="s">
        <v>478</v>
      </c>
      <c r="B15" s="288" t="s">
        <v>444</v>
      </c>
    </row>
    <row r="16" spans="1:2" ht="12.75">
      <c r="A16" s="288" t="s">
        <v>479</v>
      </c>
      <c r="B16" s="288" t="s">
        <v>451</v>
      </c>
    </row>
    <row r="17" spans="1:2" ht="12.75">
      <c r="A17" s="288" t="s">
        <v>480</v>
      </c>
      <c r="B17" s="288" t="s">
        <v>452</v>
      </c>
    </row>
    <row r="18" spans="1:2" ht="12.75">
      <c r="A18" s="288"/>
      <c r="B18" s="288"/>
    </row>
    <row r="19" spans="1:2" ht="13.5">
      <c r="A19" s="295" t="str">
        <f>+CONCATENATE(LEFT(A6,4),". I. félévi (I-II. negyedévi) teljesítés BEVÉTELEK")</f>
        <v>2022. I. félévi (I-II. negyedévi) teljesítés BEVÉTELEK</v>
      </c>
      <c r="B19" s="292"/>
    </row>
    <row r="20" spans="1:2" ht="12.75">
      <c r="A20" s="288"/>
      <c r="B20" s="288"/>
    </row>
    <row r="21" spans="1:2" ht="12.75">
      <c r="A21" s="288" t="s">
        <v>481</v>
      </c>
      <c r="B21" s="288" t="s">
        <v>445</v>
      </c>
    </row>
    <row r="22" spans="1:2" ht="12.75">
      <c r="A22" s="288" t="s">
        <v>482</v>
      </c>
      <c r="B22" s="288" t="s">
        <v>453</v>
      </c>
    </row>
    <row r="23" spans="1:2" ht="12.75">
      <c r="A23" s="288" t="s">
        <v>483</v>
      </c>
      <c r="B23" s="288" t="s">
        <v>454</v>
      </c>
    </row>
    <row r="24" spans="1:2" ht="12.75">
      <c r="A24" s="288"/>
      <c r="B24" s="288"/>
    </row>
    <row r="25" spans="1:2" ht="15">
      <c r="A25" s="86" t="str">
        <f>+CONCATENATE(LEFT(A6,4),". évi eredeti előirányzat KIADÁSOK")</f>
        <v>2022. évi eredeti előirányzat KIADÁSOK</v>
      </c>
      <c r="B25" s="292"/>
    </row>
    <row r="26" spans="1:2" ht="12.75">
      <c r="A26" s="288"/>
      <c r="B26" s="288"/>
    </row>
    <row r="27" spans="1:2" ht="12.75">
      <c r="A27" s="288" t="s">
        <v>484</v>
      </c>
      <c r="B27" s="288" t="s">
        <v>446</v>
      </c>
    </row>
    <row r="28" spans="1:2" ht="12.75">
      <c r="A28" s="288" t="s">
        <v>485</v>
      </c>
      <c r="B28" s="288" t="s">
        <v>455</v>
      </c>
    </row>
    <row r="29" spans="1:2" ht="12.75">
      <c r="A29" s="288" t="s">
        <v>486</v>
      </c>
      <c r="B29" s="288" t="s">
        <v>456</v>
      </c>
    </row>
    <row r="30" spans="1:2" ht="12.75">
      <c r="A30" s="288"/>
      <c r="B30" s="288"/>
    </row>
    <row r="31" spans="1:2" ht="15">
      <c r="A31" s="86" t="str">
        <f>+CONCATENATE(LEFT(A6,4),". évi módosított előirányzat KIADÁSOK")</f>
        <v>2022. évi módosított előirányzat KIADÁSOK</v>
      </c>
      <c r="B31" s="292"/>
    </row>
    <row r="32" spans="1:2" ht="12.75">
      <c r="A32" s="288"/>
      <c r="B32" s="288"/>
    </row>
    <row r="33" spans="1:2" ht="12.75">
      <c r="A33" s="288" t="s">
        <v>487</v>
      </c>
      <c r="B33" s="288" t="s">
        <v>447</v>
      </c>
    </row>
    <row r="34" spans="1:2" ht="12.75">
      <c r="A34" s="288" t="s">
        <v>488</v>
      </c>
      <c r="B34" s="288" t="s">
        <v>457</v>
      </c>
    </row>
    <row r="35" spans="1:2" ht="12.75">
      <c r="A35" s="288" t="s">
        <v>489</v>
      </c>
      <c r="B35" s="288" t="s">
        <v>458</v>
      </c>
    </row>
    <row r="36" spans="1:2" ht="12.75">
      <c r="A36" s="288"/>
      <c r="B36" s="288"/>
    </row>
    <row r="37" spans="1:2" ht="15">
      <c r="A37" s="294" t="str">
        <f>+CONCATENATE(LEFT(A6,4),". I. félévi (I-II. negyedévi) teljesítés KIADÁSOK")</f>
        <v>2022. I. félévi (I-II. negyedévi) teljesítés KIADÁSOK</v>
      </c>
      <c r="B37" s="292"/>
    </row>
    <row r="38" spans="1:2" ht="12.75">
      <c r="A38" s="288"/>
      <c r="B38" s="288"/>
    </row>
    <row r="39" spans="1:2" ht="12.75">
      <c r="A39" s="288" t="s">
        <v>490</v>
      </c>
      <c r="B39" s="288" t="s">
        <v>448</v>
      </c>
    </row>
    <row r="40" spans="1:2" ht="12.75">
      <c r="A40" s="288" t="s">
        <v>491</v>
      </c>
      <c r="B40" s="288" t="s">
        <v>459</v>
      </c>
    </row>
    <row r="41" spans="1:2" ht="12.75">
      <c r="A41" s="288" t="s">
        <v>492</v>
      </c>
      <c r="B41" s="288" t="s">
        <v>460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86" t="s">
        <v>105</v>
      </c>
      <c r="B1" s="84"/>
      <c r="C1" s="84"/>
      <c r="D1" s="84"/>
      <c r="E1" s="287" t="s">
        <v>109</v>
      </c>
    </row>
    <row r="2" spans="1:5" ht="12.75">
      <c r="A2" s="84"/>
      <c r="B2" s="84"/>
      <c r="C2" s="84"/>
      <c r="D2" s="84"/>
      <c r="E2" s="84"/>
    </row>
    <row r="3" spans="1:5" ht="12.75">
      <c r="A3" s="288"/>
      <c r="B3" s="289"/>
      <c r="C3" s="288"/>
      <c r="D3" s="290"/>
      <c r="E3" s="289"/>
    </row>
    <row r="4" spans="1:5" ht="15">
      <c r="A4" s="86" t="str">
        <f>+IB_ÖSSZEFÜGGÉSEK!A6</f>
        <v>2022. évi eredeti előirányzat BEVÉTELEK</v>
      </c>
      <c r="B4" s="291"/>
      <c r="C4" s="292"/>
      <c r="D4" s="290"/>
      <c r="E4" s="289"/>
    </row>
    <row r="5" spans="1:5" ht="12.75">
      <c r="A5" s="288"/>
      <c r="B5" s="289"/>
      <c r="C5" s="288"/>
      <c r="D5" s="290"/>
      <c r="E5" s="289"/>
    </row>
    <row r="6" spans="1:5" ht="12.75">
      <c r="A6" s="288" t="s">
        <v>477</v>
      </c>
      <c r="B6" s="289">
        <f>+'1.sz.mell.'!C71</f>
        <v>365737080</v>
      </c>
      <c r="C6" s="288" t="s">
        <v>443</v>
      </c>
      <c r="D6" s="290">
        <f>+'5.sz.mell.'!C18+'6.sz.mell'!C17</f>
        <v>365737080</v>
      </c>
      <c r="E6" s="289">
        <f>+B6-D6</f>
        <v>0</v>
      </c>
    </row>
    <row r="7" spans="1:5" ht="12.75">
      <c r="A7" s="288" t="s">
        <v>493</v>
      </c>
      <c r="B7" s="289">
        <f>+'1.sz.mell.'!C95</f>
        <v>239902746</v>
      </c>
      <c r="C7" s="288" t="s">
        <v>449</v>
      </c>
      <c r="D7" s="290">
        <f>+'5.sz.mell.'!C29+'6.sz.mell'!C30</f>
        <v>239902746</v>
      </c>
      <c r="E7" s="289">
        <f>+B7-D7</f>
        <v>0</v>
      </c>
    </row>
    <row r="8" spans="1:5" ht="12.75">
      <c r="A8" s="288" t="s">
        <v>494</v>
      </c>
      <c r="B8" s="289">
        <f>+'1.sz.mell.'!C96</f>
        <v>605639826</v>
      </c>
      <c r="C8" s="288" t="s">
        <v>450</v>
      </c>
      <c r="D8" s="290">
        <f>+'5.sz.mell.'!C30+'6.sz.mell'!C31</f>
        <v>605639826</v>
      </c>
      <c r="E8" s="289">
        <f>+B8-D8</f>
        <v>0</v>
      </c>
    </row>
    <row r="9" spans="1:5" ht="12.75">
      <c r="A9" s="288"/>
      <c r="B9" s="289"/>
      <c r="C9" s="288"/>
      <c r="D9" s="290"/>
      <c r="E9" s="289"/>
    </row>
    <row r="10" spans="1:5" ht="15">
      <c r="A10" s="86" t="str">
        <f>+IB_ÖSSZEFÜGGÉSEK!A13</f>
        <v>2022. évi módosított előirányzat BEVÉTELEK</v>
      </c>
      <c r="B10" s="291"/>
      <c r="C10" s="292"/>
      <c r="D10" s="290"/>
      <c r="E10" s="289"/>
    </row>
    <row r="11" spans="1:5" ht="12.75">
      <c r="A11" s="288"/>
      <c r="B11" s="289"/>
      <c r="C11" s="288"/>
      <c r="D11" s="290"/>
      <c r="E11" s="289"/>
    </row>
    <row r="12" spans="1:5" ht="12.75">
      <c r="A12" s="288" t="s">
        <v>478</v>
      </c>
      <c r="B12" s="289">
        <f>+'1.sz.mell.'!D71</f>
        <v>403686335</v>
      </c>
      <c r="C12" s="288" t="s">
        <v>444</v>
      </c>
      <c r="D12" s="290">
        <f>+'5.sz.mell.'!D18+'6.sz.mell'!D17</f>
        <v>403686335</v>
      </c>
      <c r="E12" s="289">
        <f>+B12-D12</f>
        <v>0</v>
      </c>
    </row>
    <row r="13" spans="1:5" ht="12.75">
      <c r="A13" s="288" t="s">
        <v>479</v>
      </c>
      <c r="B13" s="289">
        <f>+'1.sz.mell.'!D95</f>
        <v>268826427</v>
      </c>
      <c r="C13" s="288" t="s">
        <v>451</v>
      </c>
      <c r="D13" s="290">
        <f>+'5.sz.mell.'!D29+'6.sz.mell'!D30</f>
        <v>268826427</v>
      </c>
      <c r="E13" s="289">
        <f>+B13-D13</f>
        <v>0</v>
      </c>
    </row>
    <row r="14" spans="1:5" ht="12.75">
      <c r="A14" s="288" t="s">
        <v>480</v>
      </c>
      <c r="B14" s="289">
        <f>+'1.sz.mell.'!D96</f>
        <v>672512762</v>
      </c>
      <c r="C14" s="288" t="s">
        <v>452</v>
      </c>
      <c r="D14" s="290">
        <f>+'5.sz.mell.'!D30+'6.sz.mell'!D31</f>
        <v>672512762</v>
      </c>
      <c r="E14" s="289">
        <f>+B14-D14</f>
        <v>0</v>
      </c>
    </row>
    <row r="15" spans="1:5" ht="12.75">
      <c r="A15" s="288"/>
      <c r="B15" s="289"/>
      <c r="C15" s="288"/>
      <c r="D15" s="290"/>
      <c r="E15" s="289"/>
    </row>
    <row r="16" spans="1:5" ht="13.5">
      <c r="A16" s="293" t="str">
        <f>+IB_ÖSSZEFÜGGÉSEK!A19</f>
        <v>2022. I. félévi (I-II. negyedévi) teljesítés BEVÉTELEK</v>
      </c>
      <c r="B16" s="85"/>
      <c r="C16" s="292"/>
      <c r="D16" s="290"/>
      <c r="E16" s="289"/>
    </row>
    <row r="17" spans="1:5" ht="12.75">
      <c r="A17" s="288"/>
      <c r="B17" s="289"/>
      <c r="C17" s="288"/>
      <c r="D17" s="290"/>
      <c r="E17" s="289"/>
    </row>
    <row r="18" spans="1:5" ht="12.75">
      <c r="A18" s="288" t="s">
        <v>481</v>
      </c>
      <c r="B18" s="289">
        <f>+'1.sz.mell.'!E71</f>
        <v>281849101</v>
      </c>
      <c r="C18" s="288" t="s">
        <v>445</v>
      </c>
      <c r="D18" s="290">
        <f>+'5.sz.mell.'!E18+'6.sz.mell'!E17</f>
        <v>281849101</v>
      </c>
      <c r="E18" s="289">
        <f>+B18-D18</f>
        <v>0</v>
      </c>
    </row>
    <row r="19" spans="1:5" ht="12.75">
      <c r="A19" s="288" t="s">
        <v>482</v>
      </c>
      <c r="B19" s="289">
        <f>+'1.sz.mell.'!E95</f>
        <v>268826427</v>
      </c>
      <c r="C19" s="288" t="s">
        <v>453</v>
      </c>
      <c r="D19" s="290">
        <f>+'5.sz.mell.'!E29+'6.sz.mell'!E30</f>
        <v>268826427</v>
      </c>
      <c r="E19" s="289">
        <f>+B19-D19</f>
        <v>0</v>
      </c>
    </row>
    <row r="20" spans="1:5" ht="12.75">
      <c r="A20" s="288" t="s">
        <v>483</v>
      </c>
      <c r="B20" s="289">
        <f>+'1.sz.mell.'!E96</f>
        <v>550675528</v>
      </c>
      <c r="C20" s="288" t="s">
        <v>454</v>
      </c>
      <c r="D20" s="290">
        <f>+'5.sz.mell.'!E30+'6.sz.mell'!E31</f>
        <v>550675528</v>
      </c>
      <c r="E20" s="289">
        <f>+B20-D20</f>
        <v>0</v>
      </c>
    </row>
    <row r="21" spans="1:5" ht="12.75">
      <c r="A21" s="288"/>
      <c r="B21" s="289"/>
      <c r="C21" s="288"/>
      <c r="D21" s="290"/>
      <c r="E21" s="289"/>
    </row>
    <row r="22" spans="1:5" ht="15">
      <c r="A22" s="86" t="str">
        <f>+IB_ÖSSZEFÜGGÉSEK!A25</f>
        <v>2022. évi eredeti előirányzat KIADÁSOK</v>
      </c>
      <c r="B22" s="291"/>
      <c r="C22" s="292"/>
      <c r="D22" s="290"/>
      <c r="E22" s="289"/>
    </row>
    <row r="23" spans="1:5" ht="12.75">
      <c r="A23" s="288"/>
      <c r="B23" s="289"/>
      <c r="C23" s="288"/>
      <c r="D23" s="290"/>
      <c r="E23" s="289"/>
    </row>
    <row r="24" spans="1:5" ht="12.75">
      <c r="A24" s="288" t="s">
        <v>495</v>
      </c>
      <c r="B24" s="289">
        <f>+'1.sz.mell.'!C138</f>
        <v>601199472</v>
      </c>
      <c r="C24" s="288" t="s">
        <v>446</v>
      </c>
      <c r="D24" s="290">
        <f>+'5.sz.mell.'!G18+'6.sz.mell'!G17</f>
        <v>601199472</v>
      </c>
      <c r="E24" s="289">
        <f>+B24-D24</f>
        <v>0</v>
      </c>
    </row>
    <row r="25" spans="1:5" ht="12.75">
      <c r="A25" s="288" t="s">
        <v>485</v>
      </c>
      <c r="B25" s="289">
        <f>+'1.sz.mell.'!C163</f>
        <v>4440354</v>
      </c>
      <c r="C25" s="288" t="s">
        <v>455</v>
      </c>
      <c r="D25" s="290">
        <f>+'5.sz.mell.'!G29+'6.sz.mell'!G30</f>
        <v>4440354</v>
      </c>
      <c r="E25" s="289">
        <f>+B25-D25</f>
        <v>0</v>
      </c>
    </row>
    <row r="26" spans="1:5" ht="12.75">
      <c r="A26" s="288" t="s">
        <v>486</v>
      </c>
      <c r="B26" s="289">
        <f>+'1.sz.mell.'!C164</f>
        <v>605639826</v>
      </c>
      <c r="C26" s="288" t="s">
        <v>456</v>
      </c>
      <c r="D26" s="290">
        <f>+'5.sz.mell.'!G30+'6.sz.mell'!G31</f>
        <v>605639826</v>
      </c>
      <c r="E26" s="289">
        <f>+B26-D26</f>
        <v>0</v>
      </c>
    </row>
    <row r="27" spans="1:5" ht="12.75">
      <c r="A27" s="288"/>
      <c r="B27" s="289"/>
      <c r="C27" s="288"/>
      <c r="D27" s="290"/>
      <c r="E27" s="289"/>
    </row>
    <row r="28" spans="1:5" ht="15">
      <c r="A28" s="86" t="str">
        <f>+IB_ÖSSZEFÜGGÉSEK!A31</f>
        <v>2022. évi módosított előirányzat KIADÁSOK</v>
      </c>
      <c r="B28" s="291"/>
      <c r="C28" s="292"/>
      <c r="D28" s="290"/>
      <c r="E28" s="289"/>
    </row>
    <row r="29" spans="1:5" ht="12.75">
      <c r="A29" s="288"/>
      <c r="B29" s="289"/>
      <c r="C29" s="288"/>
      <c r="D29" s="290"/>
      <c r="E29" s="289"/>
    </row>
    <row r="30" spans="1:5" ht="12.75">
      <c r="A30" s="288" t="s">
        <v>487</v>
      </c>
      <c r="B30" s="289">
        <f>+'1.sz.mell.'!D138</f>
        <v>665959603</v>
      </c>
      <c r="C30" s="288" t="s">
        <v>447</v>
      </c>
      <c r="D30" s="290">
        <f>+'5.sz.mell.'!H18+'6.sz.mell'!H17</f>
        <v>665959603</v>
      </c>
      <c r="E30" s="289">
        <f>+B30-D30</f>
        <v>0</v>
      </c>
    </row>
    <row r="31" spans="1:5" ht="12.75">
      <c r="A31" s="288" t="s">
        <v>488</v>
      </c>
      <c r="B31" s="289">
        <f>+'1.sz.mell.'!D163</f>
        <v>6553159</v>
      </c>
      <c r="C31" s="288" t="s">
        <v>457</v>
      </c>
      <c r="D31" s="290">
        <f>+'5.sz.mell.'!H29+'6.sz.mell'!H30</f>
        <v>6553159</v>
      </c>
      <c r="E31" s="289">
        <f>+B31-D31</f>
        <v>0</v>
      </c>
    </row>
    <row r="32" spans="1:5" ht="12.75">
      <c r="A32" s="288" t="s">
        <v>489</v>
      </c>
      <c r="B32" s="289">
        <f>+'1.sz.mell.'!D164</f>
        <v>672512762</v>
      </c>
      <c r="C32" s="288" t="s">
        <v>458</v>
      </c>
      <c r="D32" s="290">
        <f>+'5.sz.mell.'!H30+'6.sz.mell'!H31</f>
        <v>672512762</v>
      </c>
      <c r="E32" s="289">
        <f>+B32-D32</f>
        <v>0</v>
      </c>
    </row>
    <row r="33" spans="1:5" ht="12.75">
      <c r="A33" s="288"/>
      <c r="B33" s="289"/>
      <c r="C33" s="288"/>
      <c r="D33" s="290"/>
      <c r="E33" s="289"/>
    </row>
    <row r="34" spans="1:5" ht="15">
      <c r="A34" s="294" t="str">
        <f>+IB_ÖSSZEFÜGGÉSEK!A37</f>
        <v>2022. I. félévi (I-II. negyedévi) teljesítés KIADÁSOK</v>
      </c>
      <c r="B34" s="291"/>
      <c r="C34" s="292"/>
      <c r="D34" s="290"/>
      <c r="E34" s="289"/>
    </row>
    <row r="35" spans="1:5" ht="12.75">
      <c r="A35" s="288"/>
      <c r="B35" s="289"/>
      <c r="C35" s="288"/>
      <c r="D35" s="290"/>
      <c r="E35" s="289"/>
    </row>
    <row r="36" spans="1:5" ht="12.75">
      <c r="A36" s="288" t="s">
        <v>490</v>
      </c>
      <c r="B36" s="289">
        <f>+'1.sz.mell.'!E138</f>
        <v>255277404</v>
      </c>
      <c r="C36" s="288" t="s">
        <v>448</v>
      </c>
      <c r="D36" s="290">
        <f>+'5.sz.mell.'!I18+'6.sz.mell'!I17</f>
        <v>255277404</v>
      </c>
      <c r="E36" s="289">
        <f>+B36-D36</f>
        <v>0</v>
      </c>
    </row>
    <row r="37" spans="1:5" ht="12.75">
      <c r="A37" s="288" t="s">
        <v>491</v>
      </c>
      <c r="B37" s="289">
        <f>+'1.sz.mell.'!E163</f>
        <v>6553159</v>
      </c>
      <c r="C37" s="288" t="s">
        <v>459</v>
      </c>
      <c r="D37" s="290">
        <f>+'5.sz.mell.'!I29+'6.sz.mell'!I30</f>
        <v>6553159</v>
      </c>
      <c r="E37" s="289">
        <f>+B37-D37</f>
        <v>0</v>
      </c>
    </row>
    <row r="38" spans="1:5" ht="12.75">
      <c r="A38" s="288" t="s">
        <v>496</v>
      </c>
      <c r="B38" s="289">
        <f>+'1.sz.mell.'!E164</f>
        <v>261830563</v>
      </c>
      <c r="C38" s="288" t="s">
        <v>460</v>
      </c>
      <c r="D38" s="290">
        <f>+'5.sz.mell.'!I30+'6.sz.mell'!I31</f>
        <v>261830563</v>
      </c>
      <c r="E38" s="289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9"/>
  <sheetViews>
    <sheetView zoomScale="120" zoomScaleNormal="120" zoomScaleSheetLayoutView="100" workbookViewId="0" topLeftCell="A103">
      <selection activeCell="C104" sqref="C104"/>
    </sheetView>
  </sheetViews>
  <sheetFormatPr defaultColWidth="9.375" defaultRowHeight="12.75"/>
  <cols>
    <col min="1" max="1" width="9.50390625" style="167" customWidth="1"/>
    <col min="2" max="2" width="65.75390625" style="167" customWidth="1"/>
    <col min="3" max="3" width="17.75390625" style="168" customWidth="1"/>
    <col min="4" max="5" width="17.75390625" style="189" customWidth="1"/>
    <col min="6" max="16384" width="9.375" style="189" customWidth="1"/>
  </cols>
  <sheetData>
    <row r="1" spans="1:5" ht="15">
      <c r="A1" s="385"/>
      <c r="B1" s="535" t="str">
        <f>CONCATENATE("1. melléklet ",IB_ALAPADATOK!B7," ",IB_ALAPADATOK!C7," ",IB_ALAPADATOK!D7," ",IB_ALAPADATOK!E7)</f>
        <v>1. melléklet a 2022 I. félévi költségvetési tájékoztatóhoz</v>
      </c>
      <c r="C1" s="536"/>
      <c r="D1" s="536"/>
      <c r="E1" s="536"/>
    </row>
    <row r="2" spans="1:5" ht="15">
      <c r="A2" s="537" t="str">
        <f>CONCATENATE(IB_ALAPADATOK!B3)</f>
        <v>Balatonvilágos Község Önkormányzata</v>
      </c>
      <c r="B2" s="538"/>
      <c r="C2" s="538"/>
      <c r="D2" s="538"/>
      <c r="E2" s="538"/>
    </row>
    <row r="3" spans="1:5" ht="15">
      <c r="A3" s="537" t="str">
        <f>CONCATENATE("Tájékoztatató a ",IB_ALAPADATOK!C7," évi költségvetés  ",IB_ALAPADATOK!D8," alakulásáról")</f>
        <v>Tájékoztatató a 2022 évi költségvetés  I. féléves alakulásáról</v>
      </c>
      <c r="B3" s="537"/>
      <c r="C3" s="539"/>
      <c r="D3" s="537"/>
      <c r="E3" s="537"/>
    </row>
    <row r="4" spans="1:5" ht="15">
      <c r="A4" s="537" t="s">
        <v>518</v>
      </c>
      <c r="B4" s="537"/>
      <c r="C4" s="539"/>
      <c r="D4" s="537"/>
      <c r="E4" s="537"/>
    </row>
    <row r="5" spans="1:5" ht="15">
      <c r="A5" s="385"/>
      <c r="B5" s="385"/>
      <c r="C5" s="386"/>
      <c r="D5" s="387"/>
      <c r="E5" s="387"/>
    </row>
    <row r="6" spans="1:5" ht="15.75" customHeight="1">
      <c r="A6" s="549" t="s">
        <v>6</v>
      </c>
      <c r="B6" s="549"/>
      <c r="C6" s="549"/>
      <c r="D6" s="549"/>
      <c r="E6" s="549"/>
    </row>
    <row r="7" spans="1:5" ht="15.75" customHeight="1" thickBot="1">
      <c r="A7" s="551" t="s">
        <v>106</v>
      </c>
      <c r="B7" s="551"/>
      <c r="C7" s="388"/>
      <c r="D7" s="387"/>
      <c r="E7" s="388" t="s">
        <v>509</v>
      </c>
    </row>
    <row r="8" spans="1:5" ht="15">
      <c r="A8" s="541" t="s">
        <v>55</v>
      </c>
      <c r="B8" s="543" t="s">
        <v>8</v>
      </c>
      <c r="C8" s="545" t="str">
        <f>+CONCATENATE(LEFT(IB_ÖSSZEFÜGGÉSEK!A6,4),". évi")</f>
        <v>2022. évi</v>
      </c>
      <c r="D8" s="546"/>
      <c r="E8" s="547"/>
    </row>
    <row r="9" spans="1:5" ht="23.25" thickBot="1">
      <c r="A9" s="542"/>
      <c r="B9" s="544"/>
      <c r="C9" s="260" t="s">
        <v>437</v>
      </c>
      <c r="D9" s="259" t="s">
        <v>438</v>
      </c>
      <c r="E9" s="374" t="str">
        <f>+CONCATENATE(LEFT(IB_ÖSSZEFÜGGÉSEK!A6,4),". VI. 30.",CHAR(10),"teljesítés")</f>
        <v>2022.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124238073</v>
      </c>
      <c r="D11" s="179">
        <f>+D12+D13+D15+D14+D16+D17+D18</f>
        <v>135925239</v>
      </c>
      <c r="E11" s="179">
        <f>+E12+E13+E15+E14+E16+E17+E18</f>
        <v>83303763</v>
      </c>
    </row>
    <row r="12" spans="1:5" s="191" customFormat="1" ht="12" customHeight="1">
      <c r="A12" s="13" t="s">
        <v>67</v>
      </c>
      <c r="B12" s="192" t="s">
        <v>175</v>
      </c>
      <c r="C12" s="500">
        <v>34249830</v>
      </c>
      <c r="D12" s="500">
        <v>34249830</v>
      </c>
      <c r="E12" s="117">
        <v>17809909</v>
      </c>
    </row>
    <row r="13" spans="1:5" s="191" customFormat="1" ht="12" customHeight="1">
      <c r="A13" s="12" t="s">
        <v>68</v>
      </c>
      <c r="B13" s="193" t="s">
        <v>176</v>
      </c>
      <c r="C13" s="461">
        <v>44591080</v>
      </c>
      <c r="D13" s="461">
        <v>44591080</v>
      </c>
      <c r="E13" s="116">
        <v>23187360</v>
      </c>
    </row>
    <row r="14" spans="1:5" s="191" customFormat="1" ht="12" customHeight="1">
      <c r="A14" s="12" t="s">
        <v>69</v>
      </c>
      <c r="B14" s="193" t="s">
        <v>177</v>
      </c>
      <c r="C14" s="461">
        <v>10296930</v>
      </c>
      <c r="D14" s="461">
        <v>10572096</v>
      </c>
      <c r="E14" s="116">
        <v>5774207</v>
      </c>
    </row>
    <row r="15" spans="1:5" s="191" customFormat="1" ht="12" customHeight="1">
      <c r="A15" s="12" t="s">
        <v>70</v>
      </c>
      <c r="B15" s="193" t="s">
        <v>578</v>
      </c>
      <c r="C15" s="461">
        <v>27935896</v>
      </c>
      <c r="D15" s="461">
        <v>27935896</v>
      </c>
      <c r="E15" s="116">
        <v>14526667</v>
      </c>
    </row>
    <row r="16" spans="1:5" s="191" customFormat="1" ht="12" customHeight="1">
      <c r="A16" s="12" t="s">
        <v>102</v>
      </c>
      <c r="B16" s="193" t="s">
        <v>178</v>
      </c>
      <c r="C16" s="461">
        <v>3248684</v>
      </c>
      <c r="D16" s="461">
        <v>3248684</v>
      </c>
      <c r="E16" s="116">
        <v>1689317</v>
      </c>
    </row>
    <row r="17" spans="1:5" s="191" customFormat="1" ht="12" customHeight="1">
      <c r="A17" s="12" t="s">
        <v>71</v>
      </c>
      <c r="B17" s="123" t="s">
        <v>349</v>
      </c>
      <c r="C17" s="461">
        <v>3915653</v>
      </c>
      <c r="D17" s="461">
        <v>15327653</v>
      </c>
      <c r="E17" s="116">
        <v>20078633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237670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19409000</v>
      </c>
      <c r="D19" s="179">
        <f>+D20+D21+D22+D23+D24</f>
        <v>23607725</v>
      </c>
      <c r="E19" s="115">
        <f>+E20+E21+E22+E23+E24</f>
        <v>15063103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>
        <v>19409000</v>
      </c>
      <c r="D24" s="180">
        <v>23607725</v>
      </c>
      <c r="E24" s="116">
        <v>15063103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372742</v>
      </c>
      <c r="D26" s="179">
        <f>+D27+D28+D29+D30+D31</f>
        <v>22436106</v>
      </c>
      <c r="E26" s="115">
        <f>+E27+E28+E29+E30+E31</f>
        <v>22396006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>
        <v>372742</v>
      </c>
      <c r="D29" s="180">
        <v>372742</v>
      </c>
      <c r="E29" s="116">
        <v>332642</v>
      </c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>
        <v>22063364</v>
      </c>
      <c r="E31" s="116">
        <v>22063364</v>
      </c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SUM(C34:C42)</f>
        <v>181442270</v>
      </c>
      <c r="D33" s="185">
        <f>SUM(D34:D42)</f>
        <v>181442270</v>
      </c>
      <c r="E33" s="221">
        <f>SUM(E34:E42)</f>
        <v>134520011</v>
      </c>
    </row>
    <row r="34" spans="1:5" s="191" customFormat="1" ht="12" customHeight="1">
      <c r="A34" s="13" t="s">
        <v>189</v>
      </c>
      <c r="B34" s="192" t="s">
        <v>498</v>
      </c>
      <c r="C34" s="500">
        <v>127000000</v>
      </c>
      <c r="D34" s="500">
        <v>127000000</v>
      </c>
      <c r="E34" s="117">
        <v>85153768</v>
      </c>
    </row>
    <row r="35" spans="1:5" s="191" customFormat="1" ht="12" customHeight="1">
      <c r="A35" s="12" t="s">
        <v>190</v>
      </c>
      <c r="B35" s="193" t="s">
        <v>617</v>
      </c>
      <c r="C35" s="461">
        <v>150000</v>
      </c>
      <c r="D35" s="461">
        <v>150000</v>
      </c>
      <c r="E35" s="117">
        <v>96000</v>
      </c>
    </row>
    <row r="36" spans="1:5" s="191" customFormat="1" ht="12" customHeight="1">
      <c r="A36" s="12" t="s">
        <v>191</v>
      </c>
      <c r="B36" s="193" t="s">
        <v>579</v>
      </c>
      <c r="C36" s="461">
        <v>10000000</v>
      </c>
      <c r="D36" s="461">
        <v>10000000</v>
      </c>
      <c r="E36" s="116">
        <v>10224598</v>
      </c>
    </row>
    <row r="37" spans="1:5" s="191" customFormat="1" ht="12" customHeight="1">
      <c r="A37" s="12" t="s">
        <v>192</v>
      </c>
      <c r="B37" s="193" t="s">
        <v>500</v>
      </c>
      <c r="C37" s="461">
        <v>35000000</v>
      </c>
      <c r="D37" s="461">
        <v>35000000</v>
      </c>
      <c r="E37" s="116">
        <v>33705792</v>
      </c>
    </row>
    <row r="38" spans="1:5" s="191" customFormat="1" ht="12" customHeight="1">
      <c r="A38" s="12" t="s">
        <v>502</v>
      </c>
      <c r="B38" s="193" t="s">
        <v>618</v>
      </c>
      <c r="C38" s="461">
        <v>3442270</v>
      </c>
      <c r="D38" s="461">
        <v>3442270</v>
      </c>
      <c r="E38" s="116">
        <v>2402551</v>
      </c>
    </row>
    <row r="39" spans="1:5" s="191" customFormat="1" ht="12" customHeight="1">
      <c r="A39" s="12" t="s">
        <v>503</v>
      </c>
      <c r="B39" s="193" t="s">
        <v>619</v>
      </c>
      <c r="C39" s="461">
        <v>5000000</v>
      </c>
      <c r="D39" s="461">
        <v>5000000</v>
      </c>
      <c r="E39" s="116">
        <v>2443200</v>
      </c>
    </row>
    <row r="40" spans="1:5" s="191" customFormat="1" ht="12" customHeight="1">
      <c r="A40" s="14" t="s">
        <v>504</v>
      </c>
      <c r="B40" s="339" t="s">
        <v>501</v>
      </c>
      <c r="C40" s="463">
        <v>200000</v>
      </c>
      <c r="D40" s="463">
        <v>200000</v>
      </c>
      <c r="E40" s="116">
        <v>209100</v>
      </c>
    </row>
    <row r="41" spans="1:5" s="191" customFormat="1" ht="12" customHeight="1">
      <c r="A41" s="14" t="s">
        <v>582</v>
      </c>
      <c r="B41" s="509" t="s">
        <v>620</v>
      </c>
      <c r="C41" s="463">
        <v>650000</v>
      </c>
      <c r="D41" s="463">
        <v>650000</v>
      </c>
      <c r="E41" s="118">
        <v>285002</v>
      </c>
    </row>
    <row r="42" spans="1:5" s="191" customFormat="1" ht="12" customHeight="1" thickBot="1">
      <c r="A42" s="14" t="s">
        <v>584</v>
      </c>
      <c r="B42" s="457"/>
      <c r="C42" s="180"/>
      <c r="D42" s="182"/>
      <c r="E42" s="118"/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40274995</v>
      </c>
      <c r="D43" s="179">
        <f>SUM(D44:D54)</f>
        <v>40274995</v>
      </c>
      <c r="E43" s="115">
        <f>SUM(E44:E54)</f>
        <v>26566218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1">
        <v>21126082</v>
      </c>
      <c r="D45" s="461">
        <v>21126082</v>
      </c>
      <c r="E45" s="116">
        <v>14678527</v>
      </c>
    </row>
    <row r="46" spans="1:5" s="191" customFormat="1" ht="12" customHeight="1">
      <c r="A46" s="12" t="s">
        <v>62</v>
      </c>
      <c r="B46" s="193" t="s">
        <v>200</v>
      </c>
      <c r="C46" s="461">
        <v>4071664</v>
      </c>
      <c r="D46" s="461">
        <v>4071664</v>
      </c>
      <c r="E46" s="116">
        <v>1258791</v>
      </c>
    </row>
    <row r="47" spans="1:5" s="191" customFormat="1" ht="12" customHeight="1">
      <c r="A47" s="12" t="s">
        <v>120</v>
      </c>
      <c r="B47" s="193" t="s">
        <v>201</v>
      </c>
      <c r="C47" s="461">
        <v>2500000</v>
      </c>
      <c r="D47" s="461">
        <v>2500000</v>
      </c>
      <c r="E47" s="116">
        <v>1567516</v>
      </c>
    </row>
    <row r="48" spans="1:5" s="191" customFormat="1" ht="12" customHeight="1">
      <c r="A48" s="12" t="s">
        <v>121</v>
      </c>
      <c r="B48" s="193" t="s">
        <v>202</v>
      </c>
      <c r="C48" s="461">
        <v>5921000</v>
      </c>
      <c r="D48" s="461">
        <v>5921000</v>
      </c>
      <c r="E48" s="116">
        <v>4478395</v>
      </c>
    </row>
    <row r="49" spans="1:5" s="191" customFormat="1" ht="12" customHeight="1">
      <c r="A49" s="12" t="s">
        <v>122</v>
      </c>
      <c r="B49" s="193" t="s">
        <v>203</v>
      </c>
      <c r="C49" s="461">
        <v>6621249</v>
      </c>
      <c r="D49" s="461">
        <v>6621249</v>
      </c>
      <c r="E49" s="116">
        <v>4467652</v>
      </c>
    </row>
    <row r="50" spans="1:5" s="191" customFormat="1" ht="12" customHeight="1">
      <c r="A50" s="12" t="s">
        <v>123</v>
      </c>
      <c r="B50" s="193" t="s">
        <v>204</v>
      </c>
      <c r="C50" s="461"/>
      <c r="D50" s="461"/>
      <c r="E50" s="116"/>
    </row>
    <row r="51" spans="1:5" s="191" customFormat="1" ht="12" customHeight="1">
      <c r="A51" s="12" t="s">
        <v>124</v>
      </c>
      <c r="B51" s="193" t="s">
        <v>505</v>
      </c>
      <c r="C51" s="461">
        <v>10000</v>
      </c>
      <c r="D51" s="461">
        <v>10000</v>
      </c>
      <c r="E51" s="116">
        <v>147</v>
      </c>
    </row>
    <row r="52" spans="1:5" s="191" customFormat="1" ht="12" customHeight="1">
      <c r="A52" s="12" t="s">
        <v>196</v>
      </c>
      <c r="B52" s="193" t="s">
        <v>206</v>
      </c>
      <c r="C52" s="512"/>
      <c r="D52" s="512"/>
      <c r="E52" s="119">
        <v>2489</v>
      </c>
    </row>
    <row r="53" spans="1:5" s="191" customFormat="1" ht="12" customHeight="1">
      <c r="A53" s="14" t="s">
        <v>197</v>
      </c>
      <c r="B53" s="194" t="s">
        <v>353</v>
      </c>
      <c r="C53" s="517"/>
      <c r="D53" s="517"/>
      <c r="E53" s="120"/>
    </row>
    <row r="54" spans="1:5" s="191" customFormat="1" ht="12" customHeight="1" thickBot="1">
      <c r="A54" s="14" t="s">
        <v>352</v>
      </c>
      <c r="B54" s="124" t="s">
        <v>207</v>
      </c>
      <c r="C54" s="517">
        <v>25000</v>
      </c>
      <c r="D54" s="517">
        <v>25000</v>
      </c>
      <c r="E54" s="120">
        <v>112701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0</v>
      </c>
      <c r="D66" s="179">
        <f>SUM(D67:D69)</f>
        <v>0</v>
      </c>
      <c r="E66" s="115">
        <f>SUM(E67:E69)</f>
        <v>0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/>
      <c r="D68" s="183"/>
      <c r="E68" s="119"/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/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365737080</v>
      </c>
      <c r="D71" s="185">
        <f>+D11+D19+D26+D33+D43+D55+D61+D66</f>
        <v>403686335</v>
      </c>
      <c r="E71" s="221">
        <f>+E11+E19+E26+E33+E43+E55+E61+E66</f>
        <v>281849101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512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513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239902746</v>
      </c>
      <c r="D81" s="179">
        <f>SUM(D82:D83)</f>
        <v>266713622</v>
      </c>
      <c r="E81" s="115">
        <f>SUM(E82:E83)</f>
        <v>266713622</v>
      </c>
    </row>
    <row r="82" spans="1:5" s="191" customFormat="1" ht="12" customHeight="1">
      <c r="A82" s="13" t="s">
        <v>261</v>
      </c>
      <c r="B82" s="192" t="s">
        <v>240</v>
      </c>
      <c r="C82" s="517">
        <v>239902746</v>
      </c>
      <c r="D82" s="183">
        <v>266713622</v>
      </c>
      <c r="E82" s="119">
        <v>266713622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2112805</v>
      </c>
      <c r="E84" s="115">
        <f>SUM(E85:E87)</f>
        <v>2112805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>
        <v>2112805</v>
      </c>
      <c r="E85" s="119">
        <v>2112805</v>
      </c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514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2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3.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15.75" customHeight="1" thickBot="1">
      <c r="A95" s="233" t="s">
        <v>269</v>
      </c>
      <c r="B95" s="199" t="s">
        <v>395</v>
      </c>
      <c r="C95" s="185">
        <f>+C72+C76+C81+C84+C88+C94+C93</f>
        <v>239902746</v>
      </c>
      <c r="D95" s="185">
        <f>+D72+D76+D81+D84+D88+D94+D93</f>
        <v>268826427</v>
      </c>
      <c r="E95" s="221">
        <f>+E72+E76+E81+E84+E88+E94+E93</f>
        <v>268826427</v>
      </c>
    </row>
    <row r="96" spans="1:5" s="191" customFormat="1" ht="25.5" customHeight="1" thickBot="1">
      <c r="A96" s="234" t="s">
        <v>394</v>
      </c>
      <c r="B96" s="200" t="s">
        <v>396</v>
      </c>
      <c r="C96" s="185">
        <f>+C71+C95</f>
        <v>605639826</v>
      </c>
      <c r="D96" s="185">
        <f>+D71+D95</f>
        <v>672512762</v>
      </c>
      <c r="E96" s="221">
        <f>+E71+E95</f>
        <v>550675528</v>
      </c>
    </row>
    <row r="97" spans="1:3" s="191" customFormat="1" ht="15" customHeight="1">
      <c r="A97" s="3"/>
      <c r="B97" s="4"/>
      <c r="C97" s="126"/>
    </row>
    <row r="98" spans="1:5" ht="16.5" customHeight="1">
      <c r="A98" s="550" t="s">
        <v>37</v>
      </c>
      <c r="B98" s="550"/>
      <c r="C98" s="550"/>
      <c r="D98" s="550"/>
      <c r="E98" s="550"/>
    </row>
    <row r="99" spans="1:5" s="201" customFormat="1" ht="16.5" customHeight="1" thickBot="1">
      <c r="A99" s="552" t="s">
        <v>107</v>
      </c>
      <c r="B99" s="552"/>
      <c r="C99" s="57"/>
      <c r="E99" s="57" t="str">
        <f>E7</f>
        <v> Forintban!</v>
      </c>
    </row>
    <row r="100" spans="1:5" ht="15">
      <c r="A100" s="541" t="s">
        <v>55</v>
      </c>
      <c r="B100" s="543" t="s">
        <v>439</v>
      </c>
      <c r="C100" s="545" t="str">
        <f>+CONCATENATE(LEFT(IB_ÖSSZEFÜGGÉSEK!A6,4),". évi")</f>
        <v>2022. évi</v>
      </c>
      <c r="D100" s="546"/>
      <c r="E100" s="547"/>
    </row>
    <row r="101" spans="1:5" ht="23.25" thickBot="1">
      <c r="A101" s="542"/>
      <c r="B101" s="544"/>
      <c r="C101" s="260" t="s">
        <v>437</v>
      </c>
      <c r="D101" s="259" t="s">
        <v>438</v>
      </c>
      <c r="E101" s="374" t="str">
        <f>+CONCATENATE(LEFT(IB_ÖSSZEFÜGGÉSEK!A6,4),". VI. 30.",CHAR(10),"teljesítés")</f>
        <v>2022. VI. 30.
teljesítés</v>
      </c>
    </row>
    <row r="102" spans="1:5" s="190" customFormat="1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544872579</v>
      </c>
      <c r="D103" s="178">
        <f>D104+D105+D106+D107+D108+D121</f>
        <v>567154266</v>
      </c>
      <c r="E103" s="246">
        <f>E104+E105+E106+E107+E108+E121</f>
        <v>225151644</v>
      </c>
    </row>
    <row r="104" spans="1:5" ht="12" customHeight="1">
      <c r="A104" s="15" t="s">
        <v>67</v>
      </c>
      <c r="B104" s="8" t="s">
        <v>38</v>
      </c>
      <c r="C104" s="462">
        <v>216150465</v>
      </c>
      <c r="D104" s="247">
        <v>216062477</v>
      </c>
      <c r="E104" s="247">
        <v>88230774</v>
      </c>
    </row>
    <row r="105" spans="1:5" ht="12" customHeight="1">
      <c r="A105" s="12" t="s">
        <v>68</v>
      </c>
      <c r="B105" s="6" t="s">
        <v>128</v>
      </c>
      <c r="C105" s="461">
        <v>31304262</v>
      </c>
      <c r="D105" s="116">
        <v>31301129</v>
      </c>
      <c r="E105" s="116">
        <v>14168514</v>
      </c>
    </row>
    <row r="106" spans="1:5" ht="12" customHeight="1">
      <c r="A106" s="12" t="s">
        <v>69</v>
      </c>
      <c r="B106" s="6" t="s">
        <v>95</v>
      </c>
      <c r="C106" s="463">
        <v>217831160</v>
      </c>
      <c r="D106" s="118">
        <v>219321713</v>
      </c>
      <c r="E106" s="118">
        <v>80316880</v>
      </c>
    </row>
    <row r="107" spans="1:5" ht="12" customHeight="1">
      <c r="A107" s="12" t="s">
        <v>70</v>
      </c>
      <c r="B107" s="9" t="s">
        <v>129</v>
      </c>
      <c r="C107" s="463">
        <v>5840000</v>
      </c>
      <c r="D107" s="118">
        <v>5840000</v>
      </c>
      <c r="E107" s="118">
        <v>1394000</v>
      </c>
    </row>
    <row r="108" spans="1:5" ht="12" customHeight="1">
      <c r="A108" s="12" t="s">
        <v>79</v>
      </c>
      <c r="B108" s="17" t="s">
        <v>130</v>
      </c>
      <c r="C108" s="463">
        <v>57464904</v>
      </c>
      <c r="D108" s="118">
        <v>68297155</v>
      </c>
      <c r="E108" s="118">
        <v>41041476</v>
      </c>
    </row>
    <row r="109" spans="1:5" ht="12" customHeight="1">
      <c r="A109" s="12" t="s">
        <v>71</v>
      </c>
      <c r="B109" s="6" t="s">
        <v>359</v>
      </c>
      <c r="C109" s="463">
        <v>696579</v>
      </c>
      <c r="D109" s="118"/>
      <c r="E109" s="118">
        <v>36830</v>
      </c>
    </row>
    <row r="110" spans="1:5" ht="12" customHeight="1">
      <c r="A110" s="12" t="s">
        <v>72</v>
      </c>
      <c r="B110" s="61" t="s">
        <v>358</v>
      </c>
      <c r="C110" s="463">
        <v>2961554</v>
      </c>
      <c r="D110" s="118">
        <v>2961554</v>
      </c>
      <c r="E110" s="118">
        <v>1540006</v>
      </c>
    </row>
    <row r="111" spans="1:5" ht="12" customHeight="1">
      <c r="A111" s="12" t="s">
        <v>80</v>
      </c>
      <c r="B111" s="61" t="s">
        <v>357</v>
      </c>
      <c r="C111" s="463"/>
      <c r="D111" s="118"/>
      <c r="E111" s="118"/>
    </row>
    <row r="112" spans="1:5" ht="12" customHeight="1">
      <c r="A112" s="12" t="s">
        <v>81</v>
      </c>
      <c r="B112" s="59" t="s">
        <v>272</v>
      </c>
      <c r="C112" s="463"/>
      <c r="D112" s="118"/>
      <c r="E112" s="118"/>
    </row>
    <row r="113" spans="1:5" ht="12" customHeight="1">
      <c r="A113" s="12" t="s">
        <v>82</v>
      </c>
      <c r="B113" s="60" t="s">
        <v>273</v>
      </c>
      <c r="C113" s="463"/>
      <c r="D113" s="118">
        <v>36830</v>
      </c>
      <c r="E113" s="118"/>
    </row>
    <row r="114" spans="1:5" ht="12" customHeight="1">
      <c r="A114" s="12" t="s">
        <v>83</v>
      </c>
      <c r="B114" s="60" t="s">
        <v>274</v>
      </c>
      <c r="C114" s="463"/>
      <c r="D114" s="118"/>
      <c r="E114" s="118"/>
    </row>
    <row r="115" spans="1:5" ht="12" customHeight="1">
      <c r="A115" s="12" t="s">
        <v>85</v>
      </c>
      <c r="B115" s="59" t="s">
        <v>275</v>
      </c>
      <c r="C115" s="463">
        <v>51405046</v>
      </c>
      <c r="D115" s="118">
        <v>51675046</v>
      </c>
      <c r="E115" s="118">
        <v>26779077</v>
      </c>
    </row>
    <row r="116" spans="1:5" ht="12" customHeight="1">
      <c r="A116" s="12" t="s">
        <v>131</v>
      </c>
      <c r="B116" s="59" t="s">
        <v>276</v>
      </c>
      <c r="C116" s="463"/>
      <c r="D116" s="118"/>
      <c r="E116" s="118"/>
    </row>
    <row r="117" spans="1:5" ht="12" customHeight="1">
      <c r="A117" s="12" t="s">
        <v>270</v>
      </c>
      <c r="B117" s="60" t="s">
        <v>277</v>
      </c>
      <c r="C117" s="463"/>
      <c r="D117" s="118"/>
      <c r="E117" s="118"/>
    </row>
    <row r="118" spans="1:5" ht="12" customHeight="1">
      <c r="A118" s="11" t="s">
        <v>271</v>
      </c>
      <c r="B118" s="61" t="s">
        <v>278</v>
      </c>
      <c r="C118" s="463"/>
      <c r="D118" s="118"/>
      <c r="E118" s="118"/>
    </row>
    <row r="119" spans="1:5" ht="12" customHeight="1">
      <c r="A119" s="12" t="s">
        <v>355</v>
      </c>
      <c r="B119" s="61" t="s">
        <v>279</v>
      </c>
      <c r="C119" s="463"/>
      <c r="D119" s="118"/>
      <c r="E119" s="118"/>
    </row>
    <row r="120" spans="1:5" ht="12" customHeight="1">
      <c r="A120" s="14" t="s">
        <v>356</v>
      </c>
      <c r="B120" s="61" t="s">
        <v>280</v>
      </c>
      <c r="C120" s="463">
        <v>2401725</v>
      </c>
      <c r="D120" s="118">
        <v>13623725</v>
      </c>
      <c r="E120" s="118">
        <v>12685563</v>
      </c>
    </row>
    <row r="121" spans="1:5" ht="12" customHeight="1">
      <c r="A121" s="12" t="s">
        <v>360</v>
      </c>
      <c r="B121" s="9" t="s">
        <v>39</v>
      </c>
      <c r="C121" s="461">
        <v>16281788</v>
      </c>
      <c r="D121" s="116">
        <v>26331792</v>
      </c>
      <c r="E121" s="116"/>
    </row>
    <row r="122" spans="1:5" ht="12" customHeight="1">
      <c r="A122" s="12" t="s">
        <v>361</v>
      </c>
      <c r="B122" s="6" t="s">
        <v>363</v>
      </c>
      <c r="C122" s="461">
        <v>8330929</v>
      </c>
      <c r="D122" s="116">
        <v>18380933</v>
      </c>
      <c r="E122" s="116"/>
    </row>
    <row r="123" spans="1:5" ht="12" customHeight="1" thickBot="1">
      <c r="A123" s="16" t="s">
        <v>362</v>
      </c>
      <c r="B123" s="242" t="s">
        <v>364</v>
      </c>
      <c r="C123" s="501">
        <v>7950859</v>
      </c>
      <c r="D123" s="248">
        <v>7950859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56326893</v>
      </c>
      <c r="D124" s="179">
        <f>+D125+D127+D129</f>
        <v>98805337</v>
      </c>
      <c r="E124" s="249">
        <f>+E125+E127+E129</f>
        <v>30125760</v>
      </c>
    </row>
    <row r="125" spans="1:5" ht="12" customHeight="1">
      <c r="A125" s="13" t="s">
        <v>73</v>
      </c>
      <c r="B125" s="6" t="s">
        <v>156</v>
      </c>
      <c r="C125" s="500">
        <v>54326893</v>
      </c>
      <c r="D125" s="264">
        <v>92772494</v>
      </c>
      <c r="E125" s="117">
        <v>25592917</v>
      </c>
    </row>
    <row r="126" spans="1:5" ht="12" customHeight="1">
      <c r="A126" s="13" t="s">
        <v>74</v>
      </c>
      <c r="B126" s="10" t="s">
        <v>285</v>
      </c>
      <c r="C126" s="500"/>
      <c r="D126" s="264"/>
      <c r="E126" s="117"/>
    </row>
    <row r="127" spans="1:5" ht="12" customHeight="1">
      <c r="A127" s="13" t="s">
        <v>75</v>
      </c>
      <c r="B127" s="10" t="s">
        <v>132</v>
      </c>
      <c r="C127" s="461"/>
      <c r="D127" s="265"/>
      <c r="E127" s="116"/>
    </row>
    <row r="128" spans="1:5" ht="12" customHeight="1">
      <c r="A128" s="13" t="s">
        <v>76</v>
      </c>
      <c r="B128" s="10" t="s">
        <v>286</v>
      </c>
      <c r="C128" s="116"/>
      <c r="D128" s="265"/>
      <c r="E128" s="116"/>
    </row>
    <row r="129" spans="1:5" ht="12" customHeight="1">
      <c r="A129" s="13" t="s">
        <v>77</v>
      </c>
      <c r="B129" s="124" t="s">
        <v>158</v>
      </c>
      <c r="C129" s="116">
        <v>2000000</v>
      </c>
      <c r="D129" s="265">
        <v>6032843</v>
      </c>
      <c r="E129" s="116">
        <v>4532843</v>
      </c>
    </row>
    <row r="130" spans="1:5" ht="12" customHeight="1">
      <c r="A130" s="13" t="s">
        <v>84</v>
      </c>
      <c r="B130" s="123" t="s">
        <v>347</v>
      </c>
      <c r="C130" s="116"/>
      <c r="D130" s="265"/>
      <c r="E130" s="116"/>
    </row>
    <row r="131" spans="1:5" ht="12" customHeight="1">
      <c r="A131" s="13" t="s">
        <v>86</v>
      </c>
      <c r="B131" s="188" t="s">
        <v>291</v>
      </c>
      <c r="C131" s="116"/>
      <c r="D131" s="265"/>
      <c r="E131" s="116"/>
    </row>
    <row r="132" spans="1:5" ht="15">
      <c r="A132" s="13" t="s">
        <v>133</v>
      </c>
      <c r="B132" s="60" t="s">
        <v>274</v>
      </c>
      <c r="C132" s="116"/>
      <c r="D132" s="265"/>
      <c r="E132" s="116"/>
    </row>
    <row r="133" spans="1:5" ht="12" customHeight="1">
      <c r="A133" s="13" t="s">
        <v>134</v>
      </c>
      <c r="B133" s="60" t="s">
        <v>290</v>
      </c>
      <c r="C133" s="116"/>
      <c r="D133" s="265">
        <v>1028112</v>
      </c>
      <c r="E133" s="116">
        <v>1028112</v>
      </c>
    </row>
    <row r="134" spans="1:5" ht="12" customHeight="1">
      <c r="A134" s="13" t="s">
        <v>135</v>
      </c>
      <c r="B134" s="60" t="s">
        <v>289</v>
      </c>
      <c r="C134" s="116"/>
      <c r="D134" s="265"/>
      <c r="E134" s="116"/>
    </row>
    <row r="135" spans="1:5" ht="12" customHeight="1">
      <c r="A135" s="13" t="s">
        <v>282</v>
      </c>
      <c r="B135" s="60" t="s">
        <v>277</v>
      </c>
      <c r="C135" s="116">
        <v>2000000</v>
      </c>
      <c r="D135" s="265">
        <v>2000000</v>
      </c>
      <c r="E135" s="116">
        <v>500000</v>
      </c>
    </row>
    <row r="136" spans="1:5" ht="12" customHeight="1">
      <c r="A136" s="13" t="s">
        <v>283</v>
      </c>
      <c r="B136" s="60" t="s">
        <v>288</v>
      </c>
      <c r="C136" s="180"/>
      <c r="D136" s="265"/>
      <c r="E136" s="116"/>
    </row>
    <row r="137" spans="1:5" ht="15.75" thickBot="1">
      <c r="A137" s="11" t="s">
        <v>284</v>
      </c>
      <c r="B137" s="60" t="s">
        <v>287</v>
      </c>
      <c r="C137" s="182"/>
      <c r="D137" s="266">
        <v>3004731</v>
      </c>
      <c r="E137" s="118">
        <v>3004731</v>
      </c>
    </row>
    <row r="138" spans="1:5" ht="12" customHeight="1" thickBot="1">
      <c r="A138" s="18" t="s">
        <v>11</v>
      </c>
      <c r="B138" s="53" t="s">
        <v>365</v>
      </c>
      <c r="C138" s="179">
        <f>+C103+C124</f>
        <v>601199472</v>
      </c>
      <c r="D138" s="263">
        <f>+D103+D124</f>
        <v>665959603</v>
      </c>
      <c r="E138" s="115">
        <f>+E103+E124</f>
        <v>255277404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4440354</v>
      </c>
      <c r="D150" s="267">
        <f>+D151+D152+D153+D154</f>
        <v>6553159</v>
      </c>
      <c r="E150" s="221">
        <f>+E151+E152+E153+E154</f>
        <v>6553159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16">
        <v>4440354</v>
      </c>
      <c r="D152" s="180">
        <v>6553159</v>
      </c>
      <c r="E152" s="116">
        <v>6553159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2" customHeight="1" thickBot="1">
      <c r="A162" s="18" t="s">
        <v>17</v>
      </c>
      <c r="B162" s="53" t="s">
        <v>388</v>
      </c>
      <c r="C162" s="257"/>
      <c r="D162" s="269"/>
      <c r="E162" s="251"/>
    </row>
    <row r="163" spans="1:6" ht="15" customHeight="1" thickBot="1">
      <c r="A163" s="18" t="s">
        <v>18</v>
      </c>
      <c r="B163" s="53" t="s">
        <v>390</v>
      </c>
      <c r="C163" s="258">
        <f>+C139+C143+C150+C155+C161+C162</f>
        <v>4440354</v>
      </c>
      <c r="D163" s="270">
        <f>+D139+D143+D150+D155+D161+D162</f>
        <v>6553159</v>
      </c>
      <c r="E163" s="252">
        <f>+E139+E143+E150+E155+E161+E162</f>
        <v>6553159</v>
      </c>
      <c r="F163" s="202"/>
    </row>
    <row r="164" spans="1:5" s="191" customFormat="1" ht="12.75" customHeight="1" thickBot="1">
      <c r="A164" s="125" t="s">
        <v>19</v>
      </c>
      <c r="B164" s="166" t="s">
        <v>389</v>
      </c>
      <c r="C164" s="258">
        <f>+C138+C163</f>
        <v>605639826</v>
      </c>
      <c r="D164" s="270">
        <f>+D138+D163</f>
        <v>672512762</v>
      </c>
      <c r="E164" s="252">
        <f>+E138+E163</f>
        <v>261830563</v>
      </c>
    </row>
    <row r="165" spans="3:4" ht="15">
      <c r="C165" s="446">
        <f>C96-C164</f>
        <v>0</v>
      </c>
      <c r="D165" s="446">
        <f>D96-D164</f>
        <v>0</v>
      </c>
    </row>
    <row r="166" spans="1:5" ht="15">
      <c r="A166" s="548" t="s">
        <v>294</v>
      </c>
      <c r="B166" s="548"/>
      <c r="C166" s="548"/>
      <c r="D166" s="548"/>
      <c r="E166" s="548"/>
    </row>
    <row r="167" spans="1:5" ht="15" customHeight="1" thickBot="1">
      <c r="A167" s="540" t="s">
        <v>108</v>
      </c>
      <c r="B167" s="540"/>
      <c r="C167" s="127"/>
      <c r="E167" s="127" t="str">
        <f>E99</f>
        <v> Forintban!</v>
      </c>
    </row>
    <row r="168" spans="1:5" ht="25.5" customHeight="1" thickBot="1">
      <c r="A168" s="18">
        <v>1</v>
      </c>
      <c r="B168" s="22" t="s">
        <v>391</v>
      </c>
      <c r="C168" s="262">
        <f>+C71-C138</f>
        <v>-235462392</v>
      </c>
      <c r="D168" s="179">
        <f>+D71-D138</f>
        <v>-262273268</v>
      </c>
      <c r="E168" s="115">
        <f>+E71-E138</f>
        <v>26571697</v>
      </c>
    </row>
    <row r="169" spans="1:5" ht="32.25" customHeight="1" thickBot="1">
      <c r="A169" s="18" t="s">
        <v>10</v>
      </c>
      <c r="B169" s="22" t="s">
        <v>397</v>
      </c>
      <c r="C169" s="179">
        <f>+C95-C163</f>
        <v>235462392</v>
      </c>
      <c r="D169" s="179">
        <f>+D95-D163</f>
        <v>262273268</v>
      </c>
      <c r="E169" s="115">
        <f>+E95-E163</f>
        <v>262273268</v>
      </c>
    </row>
  </sheetData>
  <sheetProtection/>
  <mergeCells count="16">
    <mergeCell ref="C100:E100"/>
    <mergeCell ref="A166:E166"/>
    <mergeCell ref="A6:E6"/>
    <mergeCell ref="A98:E98"/>
    <mergeCell ref="A7:B7"/>
    <mergeCell ref="A99:B99"/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9"/>
  <sheetViews>
    <sheetView zoomScale="120" zoomScaleNormal="120" zoomScaleSheetLayoutView="100" workbookViewId="0" topLeftCell="C109">
      <selection activeCell="G109" sqref="G1:M16384"/>
    </sheetView>
  </sheetViews>
  <sheetFormatPr defaultColWidth="9.375" defaultRowHeight="12.75"/>
  <cols>
    <col min="1" max="1" width="9.50390625" style="167" customWidth="1"/>
    <col min="2" max="2" width="65.75390625" style="167" customWidth="1"/>
    <col min="3" max="3" width="17.75390625" style="168" customWidth="1"/>
    <col min="4" max="5" width="17.75390625" style="189" customWidth="1"/>
    <col min="6" max="16384" width="9.375" style="189" customWidth="1"/>
  </cols>
  <sheetData>
    <row r="1" spans="1:5" ht="15">
      <c r="A1" s="385"/>
      <c r="B1" s="535" t="str">
        <f>CONCATENATE("2. melléklet ",IB_ALAPADATOK!B7," ",IB_ALAPADATOK!C7," ",IB_ALAPADATOK!D7," ",IB_ALAPADATOK!E7)</f>
        <v>2. melléklet a 2022 I. félévi költségvetési tájékoztatóhoz</v>
      </c>
      <c r="C1" s="536"/>
      <c r="D1" s="536"/>
      <c r="E1" s="536"/>
    </row>
    <row r="2" spans="1:5" ht="15">
      <c r="A2" s="537" t="str">
        <f>CONCATENATE(IB_ALAPADATOK!B3)</f>
        <v>Balatonvilágos Község Önkormányzata</v>
      </c>
      <c r="B2" s="538"/>
      <c r="C2" s="538"/>
      <c r="D2" s="538"/>
      <c r="E2" s="538"/>
    </row>
    <row r="3" spans="1:5" ht="15">
      <c r="A3" s="537" t="s">
        <v>539</v>
      </c>
      <c r="B3" s="537"/>
      <c r="C3" s="539"/>
      <c r="D3" s="537"/>
      <c r="E3" s="537"/>
    </row>
    <row r="4" spans="1:5" ht="15">
      <c r="A4" s="537" t="s">
        <v>518</v>
      </c>
      <c r="B4" s="537"/>
      <c r="C4" s="539"/>
      <c r="D4" s="537"/>
      <c r="E4" s="537"/>
    </row>
    <row r="5" spans="1:5" ht="15">
      <c r="A5" s="385"/>
      <c r="B5" s="385"/>
      <c r="C5" s="386"/>
      <c r="D5" s="387"/>
      <c r="E5" s="387"/>
    </row>
    <row r="6" spans="1:5" ht="15.75" customHeight="1">
      <c r="A6" s="549" t="s">
        <v>6</v>
      </c>
      <c r="B6" s="549"/>
      <c r="C6" s="549"/>
      <c r="D6" s="549"/>
      <c r="E6" s="549"/>
    </row>
    <row r="7" spans="1:5" ht="15.75" customHeight="1" thickBot="1">
      <c r="A7" s="551" t="s">
        <v>106</v>
      </c>
      <c r="B7" s="551"/>
      <c r="C7" s="388"/>
      <c r="D7" s="387"/>
      <c r="E7" s="388" t="str">
        <f>CONCATENATE('1.sz.mell.'!E7)</f>
        <v> Forintban!</v>
      </c>
    </row>
    <row r="8" spans="1:5" ht="15.75" customHeight="1">
      <c r="A8" s="541" t="s">
        <v>55</v>
      </c>
      <c r="B8" s="543" t="s">
        <v>8</v>
      </c>
      <c r="C8" s="545" t="str">
        <f>+CONCATENATE(LEFT(IB_ÖSSZEFÜGGÉSEK!A6,4),". évi")</f>
        <v>2022. évi</v>
      </c>
      <c r="D8" s="546"/>
      <c r="E8" s="547"/>
    </row>
    <row r="9" spans="1:5" ht="23.25" thickBot="1">
      <c r="A9" s="542"/>
      <c r="B9" s="544"/>
      <c r="C9" s="260" t="s">
        <v>437</v>
      </c>
      <c r="D9" s="259" t="s">
        <v>438</v>
      </c>
      <c r="E9" s="374" t="str">
        <f>+CONCATENATE(LEFT(IB_ÖSSZEFÜGGÉSEK!A6,4),". VI. 30.",CHAR(10),"teljesítés")</f>
        <v>2022.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+C12+C13+C15+C14+C16+C17+C18</f>
        <v>124238073</v>
      </c>
      <c r="D11" s="179">
        <f>+D12+D13+D15+D14+D16+D17+D18</f>
        <v>135925239</v>
      </c>
      <c r="E11" s="179">
        <f>+E12+E13+E15+E14+E16+E17+E18</f>
        <v>83303763</v>
      </c>
    </row>
    <row r="12" spans="1:5" s="191" customFormat="1" ht="12" customHeight="1">
      <c r="A12" s="13" t="s">
        <v>67</v>
      </c>
      <c r="B12" s="192" t="s">
        <v>175</v>
      </c>
      <c r="C12" s="500">
        <v>34249830</v>
      </c>
      <c r="D12" s="500">
        <v>34249830</v>
      </c>
      <c r="E12" s="117">
        <v>17809909</v>
      </c>
    </row>
    <row r="13" spans="1:5" s="191" customFormat="1" ht="12" customHeight="1">
      <c r="A13" s="12" t="s">
        <v>68</v>
      </c>
      <c r="B13" s="193" t="s">
        <v>176</v>
      </c>
      <c r="C13" s="461">
        <v>44591080</v>
      </c>
      <c r="D13" s="461">
        <v>44591080</v>
      </c>
      <c r="E13" s="116">
        <v>23187360</v>
      </c>
    </row>
    <row r="14" spans="1:5" s="191" customFormat="1" ht="12" customHeight="1">
      <c r="A14" s="12" t="s">
        <v>69</v>
      </c>
      <c r="B14" s="193" t="s">
        <v>177</v>
      </c>
      <c r="C14" s="461">
        <v>10296930</v>
      </c>
      <c r="D14" s="461">
        <v>10572096</v>
      </c>
      <c r="E14" s="116">
        <v>5774207</v>
      </c>
    </row>
    <row r="15" spans="1:5" s="191" customFormat="1" ht="12" customHeight="1">
      <c r="A15" s="12" t="s">
        <v>70</v>
      </c>
      <c r="B15" s="193" t="s">
        <v>578</v>
      </c>
      <c r="C15" s="461">
        <v>27935896</v>
      </c>
      <c r="D15" s="461">
        <v>27935896</v>
      </c>
      <c r="E15" s="116">
        <v>14526667</v>
      </c>
    </row>
    <row r="16" spans="1:5" s="191" customFormat="1" ht="12" customHeight="1">
      <c r="A16" s="12" t="s">
        <v>102</v>
      </c>
      <c r="B16" s="193" t="s">
        <v>178</v>
      </c>
      <c r="C16" s="461">
        <v>3248684</v>
      </c>
      <c r="D16" s="461">
        <v>3248684</v>
      </c>
      <c r="E16" s="116">
        <v>1689317</v>
      </c>
    </row>
    <row r="17" spans="1:5" s="191" customFormat="1" ht="12" customHeight="1">
      <c r="A17" s="12" t="s">
        <v>71</v>
      </c>
      <c r="B17" s="123" t="s">
        <v>349</v>
      </c>
      <c r="C17" s="461">
        <v>3915653</v>
      </c>
      <c r="D17" s="461">
        <v>15327653</v>
      </c>
      <c r="E17" s="116">
        <v>20078633</v>
      </c>
    </row>
    <row r="18" spans="1:5" s="191" customFormat="1" ht="12" customHeight="1" thickBot="1">
      <c r="A18" s="12" t="s">
        <v>72</v>
      </c>
      <c r="B18" s="124" t="s">
        <v>350</v>
      </c>
      <c r="C18" s="180"/>
      <c r="D18" s="180"/>
      <c r="E18" s="116">
        <v>237670</v>
      </c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19409000</v>
      </c>
      <c r="D19" s="179">
        <f>+D20+D21+D22+D23+D24</f>
        <v>23607725</v>
      </c>
      <c r="E19" s="115">
        <f>+E20+E21+E22+E23+E24</f>
        <v>15063103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461">
        <v>19409000</v>
      </c>
      <c r="D24" s="180">
        <v>23607725</v>
      </c>
      <c r="E24" s="116">
        <v>15063103</v>
      </c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22063364</v>
      </c>
      <c r="E26" s="115">
        <f>+E27+E28+E29+E30+E31</f>
        <v>22063364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>
        <v>22063364</v>
      </c>
      <c r="E31" s="116">
        <v>22063364</v>
      </c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SUM(C34:C42)</f>
        <v>181442270</v>
      </c>
      <c r="D33" s="185">
        <f>SUM(D34:D42)</f>
        <v>181442270</v>
      </c>
      <c r="E33" s="221">
        <f>SUM(E34:E42)</f>
        <v>134520011</v>
      </c>
    </row>
    <row r="34" spans="1:5" s="191" customFormat="1" ht="12" customHeight="1">
      <c r="A34" s="13" t="s">
        <v>189</v>
      </c>
      <c r="B34" s="456" t="s">
        <v>498</v>
      </c>
      <c r="C34" s="500">
        <v>127000000</v>
      </c>
      <c r="D34" s="500">
        <v>127000000</v>
      </c>
      <c r="E34" s="117">
        <v>85153768</v>
      </c>
    </row>
    <row r="35" spans="1:5" s="191" customFormat="1" ht="12" customHeight="1">
      <c r="A35" s="12" t="s">
        <v>190</v>
      </c>
      <c r="B35" s="456" t="s">
        <v>579</v>
      </c>
      <c r="C35" s="461">
        <v>150000</v>
      </c>
      <c r="D35" s="461">
        <v>150000</v>
      </c>
      <c r="E35" s="117">
        <v>96000</v>
      </c>
    </row>
    <row r="36" spans="1:5" s="191" customFormat="1" ht="12" customHeight="1">
      <c r="A36" s="12" t="s">
        <v>191</v>
      </c>
      <c r="B36" s="455" t="s">
        <v>499</v>
      </c>
      <c r="C36" s="461">
        <v>10000000</v>
      </c>
      <c r="D36" s="461">
        <v>10000000</v>
      </c>
      <c r="E36" s="116">
        <v>10224598</v>
      </c>
    </row>
    <row r="37" spans="1:5" s="191" customFormat="1" ht="12" customHeight="1">
      <c r="A37" s="12" t="s">
        <v>192</v>
      </c>
      <c r="B37" s="455" t="s">
        <v>500</v>
      </c>
      <c r="C37" s="461">
        <v>35000000</v>
      </c>
      <c r="D37" s="461">
        <v>35000000</v>
      </c>
      <c r="E37" s="116">
        <v>33705792</v>
      </c>
    </row>
    <row r="38" spans="1:5" s="191" customFormat="1" ht="12" customHeight="1">
      <c r="A38" s="12" t="s">
        <v>502</v>
      </c>
      <c r="B38" s="455" t="s">
        <v>580</v>
      </c>
      <c r="C38" s="461">
        <v>3442270</v>
      </c>
      <c r="D38" s="461">
        <v>3442270</v>
      </c>
      <c r="E38" s="116">
        <v>2402551</v>
      </c>
    </row>
    <row r="39" spans="1:5" s="191" customFormat="1" ht="12" customHeight="1">
      <c r="A39" s="12" t="s">
        <v>503</v>
      </c>
      <c r="B39" s="455" t="s">
        <v>193</v>
      </c>
      <c r="C39" s="461">
        <v>5000000</v>
      </c>
      <c r="D39" s="461">
        <v>5000000</v>
      </c>
      <c r="E39" s="116">
        <v>2443200</v>
      </c>
    </row>
    <row r="40" spans="1:5" s="191" customFormat="1" ht="12" customHeight="1">
      <c r="A40" s="14" t="s">
        <v>504</v>
      </c>
      <c r="B40" s="455" t="s">
        <v>581</v>
      </c>
      <c r="C40" s="461">
        <v>200000</v>
      </c>
      <c r="D40" s="461">
        <v>200000</v>
      </c>
      <c r="E40" s="116">
        <v>209100</v>
      </c>
    </row>
    <row r="41" spans="1:5" s="191" customFormat="1" ht="12" customHeight="1">
      <c r="A41" s="14" t="s">
        <v>582</v>
      </c>
      <c r="B41" s="460" t="s">
        <v>583</v>
      </c>
      <c r="C41" s="463">
        <v>650000</v>
      </c>
      <c r="D41" s="463">
        <v>650000</v>
      </c>
      <c r="E41" s="118">
        <v>285002</v>
      </c>
    </row>
    <row r="42" spans="1:5" s="191" customFormat="1" ht="12" customHeight="1" thickBot="1">
      <c r="A42" s="14" t="s">
        <v>584</v>
      </c>
      <c r="B42" s="457" t="s">
        <v>195</v>
      </c>
      <c r="C42" s="180"/>
      <c r="D42" s="182"/>
      <c r="E42" s="118"/>
    </row>
    <row r="43" spans="1:5" s="191" customFormat="1" ht="12" customHeight="1" thickBot="1">
      <c r="A43" s="18" t="s">
        <v>13</v>
      </c>
      <c r="B43" s="19" t="s">
        <v>351</v>
      </c>
      <c r="C43" s="179">
        <f>SUM(C44:C54)</f>
        <v>17728828</v>
      </c>
      <c r="D43" s="179">
        <f>SUM(D44:D54)</f>
        <v>17728828</v>
      </c>
      <c r="E43" s="115">
        <f>SUM(E44:E54)</f>
        <v>12312423</v>
      </c>
    </row>
    <row r="44" spans="1:5" s="191" customFormat="1" ht="12" customHeight="1">
      <c r="A44" s="13" t="s">
        <v>60</v>
      </c>
      <c r="B44" s="192" t="s">
        <v>198</v>
      </c>
      <c r="C44" s="181"/>
      <c r="D44" s="181"/>
      <c r="E44" s="117"/>
    </row>
    <row r="45" spans="1:5" s="191" customFormat="1" ht="12" customHeight="1">
      <c r="A45" s="12" t="s">
        <v>61</v>
      </c>
      <c r="B45" s="193" t="s">
        <v>199</v>
      </c>
      <c r="C45" s="461">
        <v>4795000</v>
      </c>
      <c r="D45" s="461">
        <v>4795000</v>
      </c>
      <c r="E45" s="116">
        <v>4289626</v>
      </c>
    </row>
    <row r="46" spans="1:5" s="191" customFormat="1" ht="12" customHeight="1">
      <c r="A46" s="12" t="s">
        <v>62</v>
      </c>
      <c r="B46" s="193" t="s">
        <v>200</v>
      </c>
      <c r="C46" s="461">
        <v>4071664</v>
      </c>
      <c r="D46" s="461">
        <v>4071664</v>
      </c>
      <c r="E46" s="116">
        <v>1258791</v>
      </c>
    </row>
    <row r="47" spans="1:5" s="191" customFormat="1" ht="12" customHeight="1">
      <c r="A47" s="12" t="s">
        <v>120</v>
      </c>
      <c r="B47" s="193" t="s">
        <v>201</v>
      </c>
      <c r="C47" s="461"/>
      <c r="D47" s="461"/>
      <c r="E47" s="116">
        <v>11000</v>
      </c>
    </row>
    <row r="48" spans="1:5" s="191" customFormat="1" ht="12" customHeight="1">
      <c r="A48" s="12" t="s">
        <v>121</v>
      </c>
      <c r="B48" s="193" t="s">
        <v>202</v>
      </c>
      <c r="C48" s="461">
        <v>5921000</v>
      </c>
      <c r="D48" s="461">
        <v>5921000</v>
      </c>
      <c r="E48" s="116">
        <v>4478395</v>
      </c>
    </row>
    <row r="49" spans="1:5" s="191" customFormat="1" ht="12" customHeight="1">
      <c r="A49" s="12" t="s">
        <v>122</v>
      </c>
      <c r="B49" s="193" t="s">
        <v>203</v>
      </c>
      <c r="C49" s="461">
        <v>2906164</v>
      </c>
      <c r="D49" s="461">
        <v>2906164</v>
      </c>
      <c r="E49" s="116">
        <v>2159274</v>
      </c>
    </row>
    <row r="50" spans="1:5" s="191" customFormat="1" ht="12" customHeight="1">
      <c r="A50" s="12" t="s">
        <v>123</v>
      </c>
      <c r="B50" s="193" t="s">
        <v>204</v>
      </c>
      <c r="C50" s="461"/>
      <c r="D50" s="461"/>
      <c r="E50" s="116"/>
    </row>
    <row r="51" spans="1:5" s="191" customFormat="1" ht="12" customHeight="1">
      <c r="A51" s="12" t="s">
        <v>124</v>
      </c>
      <c r="B51" s="193" t="s">
        <v>505</v>
      </c>
      <c r="C51" s="461">
        <v>10000</v>
      </c>
      <c r="D51" s="461">
        <v>10000</v>
      </c>
      <c r="E51" s="116">
        <v>147</v>
      </c>
    </row>
    <row r="52" spans="1:5" s="191" customFormat="1" ht="12" customHeight="1">
      <c r="A52" s="12" t="s">
        <v>196</v>
      </c>
      <c r="B52" s="193" t="s">
        <v>206</v>
      </c>
      <c r="C52" s="512"/>
      <c r="D52" s="512"/>
      <c r="E52" s="119">
        <v>2489</v>
      </c>
    </row>
    <row r="53" spans="1:5" s="191" customFormat="1" ht="12" customHeight="1">
      <c r="A53" s="14" t="s">
        <v>197</v>
      </c>
      <c r="B53" s="194" t="s">
        <v>353</v>
      </c>
      <c r="C53" s="517"/>
      <c r="D53" s="517"/>
      <c r="E53" s="120"/>
    </row>
    <row r="54" spans="1:5" s="191" customFormat="1" ht="12" customHeight="1" thickBot="1">
      <c r="A54" s="14" t="s">
        <v>352</v>
      </c>
      <c r="B54" s="124" t="s">
        <v>207</v>
      </c>
      <c r="C54" s="517">
        <v>25000</v>
      </c>
      <c r="D54" s="517">
        <v>25000</v>
      </c>
      <c r="E54" s="120">
        <v>112701</v>
      </c>
    </row>
    <row r="55" spans="1:5" s="191" customFormat="1" ht="12" customHeight="1" thickBot="1">
      <c r="A55" s="18" t="s">
        <v>14</v>
      </c>
      <c r="B55" s="19" t="s">
        <v>208</v>
      </c>
      <c r="C55" s="179">
        <f>SUM(C56:C60)</f>
        <v>0</v>
      </c>
      <c r="D55" s="179">
        <f>SUM(D56:D60)</f>
        <v>0</v>
      </c>
      <c r="E55" s="115">
        <f>SUM(E56:E60)</f>
        <v>0</v>
      </c>
    </row>
    <row r="56" spans="1:5" s="191" customFormat="1" ht="12" customHeight="1">
      <c r="A56" s="13" t="s">
        <v>63</v>
      </c>
      <c r="B56" s="192" t="s">
        <v>212</v>
      </c>
      <c r="C56" s="232"/>
      <c r="D56" s="232"/>
      <c r="E56" s="121"/>
    </row>
    <row r="57" spans="1:5" s="191" customFormat="1" ht="12" customHeight="1">
      <c r="A57" s="12" t="s">
        <v>64</v>
      </c>
      <c r="B57" s="193" t="s">
        <v>213</v>
      </c>
      <c r="C57" s="183"/>
      <c r="D57" s="183"/>
      <c r="E57" s="119"/>
    </row>
    <row r="58" spans="1:5" s="191" customFormat="1" ht="12" customHeight="1">
      <c r="A58" s="12" t="s">
        <v>209</v>
      </c>
      <c r="B58" s="193" t="s">
        <v>214</v>
      </c>
      <c r="C58" s="183"/>
      <c r="D58" s="183"/>
      <c r="E58" s="119"/>
    </row>
    <row r="59" spans="1:5" s="191" customFormat="1" ht="12" customHeight="1">
      <c r="A59" s="12" t="s">
        <v>210</v>
      </c>
      <c r="B59" s="193" t="s">
        <v>215</v>
      </c>
      <c r="C59" s="183"/>
      <c r="D59" s="183"/>
      <c r="E59" s="119"/>
    </row>
    <row r="60" spans="1:5" s="191" customFormat="1" ht="12" customHeight="1" thickBot="1">
      <c r="A60" s="14" t="s">
        <v>211</v>
      </c>
      <c r="B60" s="124" t="s">
        <v>216</v>
      </c>
      <c r="C60" s="184"/>
      <c r="D60" s="184"/>
      <c r="E60" s="120"/>
    </row>
    <row r="61" spans="1:5" s="191" customFormat="1" ht="12" customHeight="1" thickBot="1">
      <c r="A61" s="18" t="s">
        <v>125</v>
      </c>
      <c r="B61" s="19" t="s">
        <v>217</v>
      </c>
      <c r="C61" s="179">
        <f>SUM(C62:C64)</f>
        <v>0</v>
      </c>
      <c r="D61" s="179">
        <f>SUM(D62:D64)</f>
        <v>0</v>
      </c>
      <c r="E61" s="115">
        <f>SUM(E62:E64)</f>
        <v>0</v>
      </c>
    </row>
    <row r="62" spans="1:5" s="191" customFormat="1" ht="12" customHeight="1">
      <c r="A62" s="13" t="s">
        <v>65</v>
      </c>
      <c r="B62" s="192" t="s">
        <v>218</v>
      </c>
      <c r="C62" s="181"/>
      <c r="D62" s="181"/>
      <c r="E62" s="117"/>
    </row>
    <row r="63" spans="1:5" s="191" customFormat="1" ht="12" customHeight="1">
      <c r="A63" s="12" t="s">
        <v>66</v>
      </c>
      <c r="B63" s="193" t="s">
        <v>345</v>
      </c>
      <c r="C63" s="180"/>
      <c r="D63" s="180"/>
      <c r="E63" s="116"/>
    </row>
    <row r="64" spans="1:5" s="191" customFormat="1" ht="12" customHeight="1">
      <c r="A64" s="12" t="s">
        <v>221</v>
      </c>
      <c r="B64" s="193" t="s">
        <v>219</v>
      </c>
      <c r="C64" s="180"/>
      <c r="D64" s="180"/>
      <c r="E64" s="116"/>
    </row>
    <row r="65" spans="1:5" s="191" customFormat="1" ht="12" customHeight="1" thickBot="1">
      <c r="A65" s="14" t="s">
        <v>222</v>
      </c>
      <c r="B65" s="124" t="s">
        <v>220</v>
      </c>
      <c r="C65" s="182"/>
      <c r="D65" s="182"/>
      <c r="E65" s="118"/>
    </row>
    <row r="66" spans="1:5" s="191" customFormat="1" ht="12" customHeight="1" thickBot="1">
      <c r="A66" s="18" t="s">
        <v>16</v>
      </c>
      <c r="B66" s="122" t="s">
        <v>223</v>
      </c>
      <c r="C66" s="179">
        <f>SUM(C67:C69)</f>
        <v>0</v>
      </c>
      <c r="D66" s="179">
        <f>SUM(D67:D69)</f>
        <v>0</v>
      </c>
      <c r="E66" s="115">
        <f>SUM(E67:E69)</f>
        <v>0</v>
      </c>
    </row>
    <row r="67" spans="1:5" s="191" customFormat="1" ht="12" customHeight="1">
      <c r="A67" s="13" t="s">
        <v>126</v>
      </c>
      <c r="B67" s="192" t="s">
        <v>225</v>
      </c>
      <c r="C67" s="183"/>
      <c r="D67" s="183"/>
      <c r="E67" s="119"/>
    </row>
    <row r="68" spans="1:5" s="191" customFormat="1" ht="12" customHeight="1">
      <c r="A68" s="12" t="s">
        <v>127</v>
      </c>
      <c r="B68" s="193" t="s">
        <v>346</v>
      </c>
      <c r="C68" s="183"/>
      <c r="D68" s="183"/>
      <c r="E68" s="119"/>
    </row>
    <row r="69" spans="1:5" s="191" customFormat="1" ht="12" customHeight="1">
      <c r="A69" s="12" t="s">
        <v>157</v>
      </c>
      <c r="B69" s="193" t="s">
        <v>226</v>
      </c>
      <c r="C69" s="183"/>
      <c r="D69" s="183"/>
      <c r="E69" s="119"/>
    </row>
    <row r="70" spans="1:5" s="191" customFormat="1" ht="12" customHeight="1" thickBot="1">
      <c r="A70" s="14" t="s">
        <v>224</v>
      </c>
      <c r="B70" s="124" t="s">
        <v>227</v>
      </c>
      <c r="C70" s="183"/>
      <c r="D70" s="183"/>
      <c r="E70" s="119"/>
    </row>
    <row r="71" spans="1:5" s="191" customFormat="1" ht="12" customHeight="1" thickBot="1">
      <c r="A71" s="243" t="s">
        <v>393</v>
      </c>
      <c r="B71" s="19" t="s">
        <v>228</v>
      </c>
      <c r="C71" s="185">
        <f>+C11+C19+C26+C33+C43+C55+C61+C66</f>
        <v>342818171</v>
      </c>
      <c r="D71" s="185">
        <f>+D11+D19+D26+D33+D43+D55+D61+D66</f>
        <v>380767426</v>
      </c>
      <c r="E71" s="221">
        <f>+E11+E19+E26+E33+E43+E55+E61+E66</f>
        <v>267262664</v>
      </c>
    </row>
    <row r="72" spans="1:5" s="191" customFormat="1" ht="12" customHeight="1" thickBot="1">
      <c r="A72" s="233" t="s">
        <v>229</v>
      </c>
      <c r="B72" s="122" t="s">
        <v>230</v>
      </c>
      <c r="C72" s="179">
        <f>SUM(C73:C75)</f>
        <v>0</v>
      </c>
      <c r="D72" s="179">
        <f>SUM(D73:D75)</f>
        <v>0</v>
      </c>
      <c r="E72" s="115">
        <f>SUM(E73:E75)</f>
        <v>0</v>
      </c>
    </row>
    <row r="73" spans="1:5" s="191" customFormat="1" ht="12" customHeight="1">
      <c r="A73" s="13" t="s">
        <v>258</v>
      </c>
      <c r="B73" s="192" t="s">
        <v>231</v>
      </c>
      <c r="C73" s="183"/>
      <c r="D73" s="183"/>
      <c r="E73" s="119"/>
    </row>
    <row r="74" spans="1:5" s="191" customFormat="1" ht="12" customHeight="1">
      <c r="A74" s="12" t="s">
        <v>267</v>
      </c>
      <c r="B74" s="193" t="s">
        <v>232</v>
      </c>
      <c r="C74" s="183"/>
      <c r="D74" s="183"/>
      <c r="E74" s="119"/>
    </row>
    <row r="75" spans="1:5" s="191" customFormat="1" ht="12" customHeight="1" thickBot="1">
      <c r="A75" s="14" t="s">
        <v>268</v>
      </c>
      <c r="B75" s="239" t="s">
        <v>378</v>
      </c>
      <c r="C75" s="183"/>
      <c r="D75" s="183"/>
      <c r="E75" s="119"/>
    </row>
    <row r="76" spans="1:5" s="191" customFormat="1" ht="12" customHeight="1" thickBot="1">
      <c r="A76" s="233" t="s">
        <v>234</v>
      </c>
      <c r="B76" s="122" t="s">
        <v>235</v>
      </c>
      <c r="C76" s="179">
        <f>SUM(C77:C80)</f>
        <v>0</v>
      </c>
      <c r="D76" s="179">
        <f>SUM(D77:D80)</f>
        <v>0</v>
      </c>
      <c r="E76" s="115">
        <f>SUM(E77:E80)</f>
        <v>0</v>
      </c>
    </row>
    <row r="77" spans="1:5" s="191" customFormat="1" ht="12" customHeight="1">
      <c r="A77" s="13" t="s">
        <v>103</v>
      </c>
      <c r="B77" s="372" t="s">
        <v>236</v>
      </c>
      <c r="C77" s="183"/>
      <c r="D77" s="183"/>
      <c r="E77" s="119"/>
    </row>
    <row r="78" spans="1:5" s="191" customFormat="1" ht="12" customHeight="1">
      <c r="A78" s="12" t="s">
        <v>104</v>
      </c>
      <c r="B78" s="372" t="s">
        <v>512</v>
      </c>
      <c r="C78" s="183"/>
      <c r="D78" s="183"/>
      <c r="E78" s="119"/>
    </row>
    <row r="79" spans="1:5" s="191" customFormat="1" ht="12" customHeight="1">
      <c r="A79" s="12" t="s">
        <v>259</v>
      </c>
      <c r="B79" s="372" t="s">
        <v>237</v>
      </c>
      <c r="C79" s="183"/>
      <c r="D79" s="183"/>
      <c r="E79" s="119"/>
    </row>
    <row r="80" spans="1:5" s="191" customFormat="1" ht="12" customHeight="1" thickBot="1">
      <c r="A80" s="14" t="s">
        <v>260</v>
      </c>
      <c r="B80" s="373" t="s">
        <v>513</v>
      </c>
      <c r="C80" s="183"/>
      <c r="D80" s="183"/>
      <c r="E80" s="119"/>
    </row>
    <row r="81" spans="1:5" s="191" customFormat="1" ht="12" customHeight="1" thickBot="1">
      <c r="A81" s="233" t="s">
        <v>238</v>
      </c>
      <c r="B81" s="122" t="s">
        <v>239</v>
      </c>
      <c r="C81" s="179">
        <f>SUM(C82:C83)</f>
        <v>239902746</v>
      </c>
      <c r="D81" s="179">
        <f>SUM(D82:D83)</f>
        <v>266713622</v>
      </c>
      <c r="E81" s="115">
        <f>SUM(E82:E83)</f>
        <v>266713622</v>
      </c>
    </row>
    <row r="82" spans="1:5" s="191" customFormat="1" ht="12" customHeight="1">
      <c r="A82" s="13" t="s">
        <v>261</v>
      </c>
      <c r="B82" s="192" t="s">
        <v>240</v>
      </c>
      <c r="C82" s="517">
        <v>239902746</v>
      </c>
      <c r="D82" s="183">
        <v>266713622</v>
      </c>
      <c r="E82" s="119">
        <v>266713622</v>
      </c>
    </row>
    <row r="83" spans="1:5" s="191" customFormat="1" ht="12" customHeight="1" thickBot="1">
      <c r="A83" s="14" t="s">
        <v>262</v>
      </c>
      <c r="B83" s="124" t="s">
        <v>241</v>
      </c>
      <c r="C83" s="183"/>
      <c r="D83" s="183"/>
      <c r="E83" s="119"/>
    </row>
    <row r="84" spans="1:5" s="191" customFormat="1" ht="12" customHeight="1" thickBot="1">
      <c r="A84" s="233" t="s">
        <v>242</v>
      </c>
      <c r="B84" s="122" t="s">
        <v>243</v>
      </c>
      <c r="C84" s="179">
        <f>SUM(C85:C87)</f>
        <v>0</v>
      </c>
      <c r="D84" s="179">
        <f>SUM(D85:D87)</f>
        <v>2112805</v>
      </c>
      <c r="E84" s="115">
        <f>SUM(E85:E87)</f>
        <v>2112805</v>
      </c>
    </row>
    <row r="85" spans="1:5" s="191" customFormat="1" ht="12" customHeight="1">
      <c r="A85" s="13" t="s">
        <v>263</v>
      </c>
      <c r="B85" s="192" t="s">
        <v>244</v>
      </c>
      <c r="C85" s="183"/>
      <c r="D85" s="183">
        <v>2112805</v>
      </c>
      <c r="E85" s="119">
        <v>2112805</v>
      </c>
    </row>
    <row r="86" spans="1:5" s="191" customFormat="1" ht="12" customHeight="1">
      <c r="A86" s="12" t="s">
        <v>264</v>
      </c>
      <c r="B86" s="193" t="s">
        <v>245</v>
      </c>
      <c r="C86" s="183"/>
      <c r="D86" s="183"/>
      <c r="E86" s="119"/>
    </row>
    <row r="87" spans="1:5" s="191" customFormat="1" ht="12" customHeight="1" thickBot="1">
      <c r="A87" s="14" t="s">
        <v>265</v>
      </c>
      <c r="B87" s="124" t="s">
        <v>514</v>
      </c>
      <c r="C87" s="183"/>
      <c r="D87" s="183"/>
      <c r="E87" s="119"/>
    </row>
    <row r="88" spans="1:5" s="191" customFormat="1" ht="12" customHeight="1" thickBot="1">
      <c r="A88" s="233" t="s">
        <v>246</v>
      </c>
      <c r="B88" s="122" t="s">
        <v>266</v>
      </c>
      <c r="C88" s="179">
        <f>SUM(C89:C92)</f>
        <v>0</v>
      </c>
      <c r="D88" s="179">
        <f>SUM(D89:D92)</f>
        <v>0</v>
      </c>
      <c r="E88" s="115">
        <f>SUM(E89:E92)</f>
        <v>0</v>
      </c>
    </row>
    <row r="89" spans="1:5" s="191" customFormat="1" ht="12" customHeight="1">
      <c r="A89" s="196" t="s">
        <v>247</v>
      </c>
      <c r="B89" s="192" t="s">
        <v>248</v>
      </c>
      <c r="C89" s="183"/>
      <c r="D89" s="183"/>
      <c r="E89" s="119"/>
    </row>
    <row r="90" spans="1:5" s="191" customFormat="1" ht="12" customHeight="1">
      <c r="A90" s="197" t="s">
        <v>249</v>
      </c>
      <c r="B90" s="193" t="s">
        <v>250</v>
      </c>
      <c r="C90" s="183"/>
      <c r="D90" s="183"/>
      <c r="E90" s="119"/>
    </row>
    <row r="91" spans="1:5" s="191" customFormat="1" ht="12" customHeight="1">
      <c r="A91" s="197" t="s">
        <v>251</v>
      </c>
      <c r="B91" s="193" t="s">
        <v>252</v>
      </c>
      <c r="C91" s="183"/>
      <c r="D91" s="183"/>
      <c r="E91" s="119"/>
    </row>
    <row r="92" spans="1:5" s="191" customFormat="1" ht="12" customHeight="1" thickBot="1">
      <c r="A92" s="198" t="s">
        <v>253</v>
      </c>
      <c r="B92" s="124" t="s">
        <v>254</v>
      </c>
      <c r="C92" s="183"/>
      <c r="D92" s="183"/>
      <c r="E92" s="119"/>
    </row>
    <row r="93" spans="1:5" s="191" customFormat="1" ht="13.5" customHeight="1" thickBot="1">
      <c r="A93" s="233" t="s">
        <v>255</v>
      </c>
      <c r="B93" s="122" t="s">
        <v>392</v>
      </c>
      <c r="C93" s="235"/>
      <c r="D93" s="235"/>
      <c r="E93" s="236"/>
    </row>
    <row r="94" spans="1:5" s="191" customFormat="1" ht="15.75" customHeight="1" thickBot="1">
      <c r="A94" s="233" t="s">
        <v>257</v>
      </c>
      <c r="B94" s="122" t="s">
        <v>256</v>
      </c>
      <c r="C94" s="235"/>
      <c r="D94" s="235"/>
      <c r="E94" s="236"/>
    </row>
    <row r="95" spans="1:5" s="191" customFormat="1" ht="25.5" customHeight="1" thickBot="1">
      <c r="A95" s="233" t="s">
        <v>269</v>
      </c>
      <c r="B95" s="199" t="s">
        <v>395</v>
      </c>
      <c r="C95" s="185">
        <f>+C72+C76+C81+C84+C88+C94+C93</f>
        <v>239902746</v>
      </c>
      <c r="D95" s="185">
        <f>+D72+D76+D81+D84+D88+D94+D93</f>
        <v>268826427</v>
      </c>
      <c r="E95" s="221">
        <f>+E72+E76+E81+E84+E88+E94+E93</f>
        <v>268826427</v>
      </c>
    </row>
    <row r="96" spans="1:5" s="191" customFormat="1" ht="15" customHeight="1" thickBot="1">
      <c r="A96" s="234" t="s">
        <v>394</v>
      </c>
      <c r="B96" s="200" t="s">
        <v>396</v>
      </c>
      <c r="C96" s="185">
        <f>+C71+C95</f>
        <v>582720917</v>
      </c>
      <c r="D96" s="185">
        <f>+D71+D95</f>
        <v>649593853</v>
      </c>
      <c r="E96" s="221">
        <f>+E71+E95</f>
        <v>536089091</v>
      </c>
    </row>
    <row r="97" spans="1:5" ht="16.5" customHeight="1">
      <c r="A97" s="3"/>
      <c r="B97" s="4"/>
      <c r="C97" s="126"/>
      <c r="D97" s="191"/>
      <c r="E97" s="191"/>
    </row>
    <row r="98" spans="1:5" s="201" customFormat="1" ht="16.5" customHeight="1">
      <c r="A98" s="550" t="s">
        <v>37</v>
      </c>
      <c r="B98" s="550"/>
      <c r="C98" s="550"/>
      <c r="D98" s="550"/>
      <c r="E98" s="550"/>
    </row>
    <row r="99" spans="1:5" ht="15.75" customHeight="1" thickBot="1">
      <c r="A99" s="552" t="s">
        <v>107</v>
      </c>
      <c r="B99" s="552"/>
      <c r="C99" s="57"/>
      <c r="D99" s="201"/>
      <c r="E99" s="57" t="str">
        <f>E7</f>
        <v> Forintban!</v>
      </c>
    </row>
    <row r="100" spans="1:5" ht="15">
      <c r="A100" s="541" t="s">
        <v>55</v>
      </c>
      <c r="B100" s="543" t="s">
        <v>439</v>
      </c>
      <c r="C100" s="545" t="str">
        <f>+CONCATENATE(LEFT(IB_ÖSSZEFÜGGÉSEK!A6,4),". évi")</f>
        <v>2022. évi</v>
      </c>
      <c r="D100" s="546"/>
      <c r="E100" s="547"/>
    </row>
    <row r="101" spans="1:5" s="190" customFormat="1" ht="25.5" customHeight="1" thickBot="1">
      <c r="A101" s="542"/>
      <c r="B101" s="544"/>
      <c r="C101" s="260" t="s">
        <v>437</v>
      </c>
      <c r="D101" s="259" t="s">
        <v>438</v>
      </c>
      <c r="E101" s="374" t="str">
        <f>+CONCATENATE(LEFT(IB_ÖSSZEFÜGGÉSEK!A6,4),". VI. 30.",CHAR(10),"teljesítés")</f>
        <v>2022. VI. 30.
teljesítés</v>
      </c>
    </row>
    <row r="102" spans="1:5" ht="12" customHeight="1" thickBot="1">
      <c r="A102" s="24" t="s">
        <v>404</v>
      </c>
      <c r="B102" s="25" t="s">
        <v>405</v>
      </c>
      <c r="C102" s="25" t="s">
        <v>406</v>
      </c>
      <c r="D102" s="25" t="s">
        <v>408</v>
      </c>
      <c r="E102" s="271" t="s">
        <v>407</v>
      </c>
    </row>
    <row r="103" spans="1:5" ht="12" customHeight="1" thickBot="1">
      <c r="A103" s="20" t="s">
        <v>9</v>
      </c>
      <c r="B103" s="23" t="s">
        <v>354</v>
      </c>
      <c r="C103" s="178">
        <f>C104+C105+C106+C107+C108+C121</f>
        <v>536772854</v>
      </c>
      <c r="D103" s="178">
        <f>D104+D105+D106+D107+D108+D121</f>
        <v>559174541</v>
      </c>
      <c r="E103" s="246">
        <f>E104+E105+E106+E107+E108+E121</f>
        <v>223537526</v>
      </c>
    </row>
    <row r="104" spans="1:5" ht="12" customHeight="1">
      <c r="A104" s="15" t="s">
        <v>67</v>
      </c>
      <c r="B104" s="8" t="s">
        <v>38</v>
      </c>
      <c r="C104" s="462">
        <v>216150465</v>
      </c>
      <c r="D104" s="253">
        <v>216062477</v>
      </c>
      <c r="E104" s="247">
        <v>88230774</v>
      </c>
    </row>
    <row r="105" spans="1:5" ht="12" customHeight="1">
      <c r="A105" s="12" t="s">
        <v>68</v>
      </c>
      <c r="B105" s="6" t="s">
        <v>128</v>
      </c>
      <c r="C105" s="461">
        <v>31304262</v>
      </c>
      <c r="D105" s="180">
        <v>31301129</v>
      </c>
      <c r="E105" s="116">
        <v>14168514</v>
      </c>
    </row>
    <row r="106" spans="1:5" ht="12" customHeight="1">
      <c r="A106" s="12" t="s">
        <v>69</v>
      </c>
      <c r="B106" s="6" t="s">
        <v>95</v>
      </c>
      <c r="C106" s="463">
        <v>211591160</v>
      </c>
      <c r="D106" s="182">
        <v>213081713</v>
      </c>
      <c r="E106" s="118">
        <v>79182762</v>
      </c>
    </row>
    <row r="107" spans="1:5" ht="12" customHeight="1">
      <c r="A107" s="12" t="s">
        <v>70</v>
      </c>
      <c r="B107" s="9" t="s">
        <v>129</v>
      </c>
      <c r="C107" s="463">
        <v>5840000</v>
      </c>
      <c r="D107" s="182">
        <v>5840000</v>
      </c>
      <c r="E107" s="118">
        <v>1394000</v>
      </c>
    </row>
    <row r="108" spans="1:5" ht="12" customHeight="1">
      <c r="A108" s="12" t="s">
        <v>79</v>
      </c>
      <c r="B108" s="17" t="s">
        <v>130</v>
      </c>
      <c r="C108" s="463">
        <v>55605179</v>
      </c>
      <c r="D108" s="182">
        <v>66557430</v>
      </c>
      <c r="E108" s="118">
        <v>40561476</v>
      </c>
    </row>
    <row r="109" spans="1:5" ht="12" customHeight="1">
      <c r="A109" s="12" t="s">
        <v>71</v>
      </c>
      <c r="B109" s="6" t="s">
        <v>359</v>
      </c>
      <c r="C109" s="463">
        <v>696579</v>
      </c>
      <c r="D109" s="182"/>
      <c r="E109" s="118">
        <v>36830</v>
      </c>
    </row>
    <row r="110" spans="1:5" ht="12" customHeight="1">
      <c r="A110" s="12" t="s">
        <v>72</v>
      </c>
      <c r="B110" s="61" t="s">
        <v>358</v>
      </c>
      <c r="C110" s="463">
        <v>2961554</v>
      </c>
      <c r="D110" s="182">
        <v>2961554</v>
      </c>
      <c r="E110" s="118">
        <v>1540006</v>
      </c>
    </row>
    <row r="111" spans="1:5" ht="12" customHeight="1">
      <c r="A111" s="12" t="s">
        <v>80</v>
      </c>
      <c r="B111" s="61" t="s">
        <v>357</v>
      </c>
      <c r="C111" s="463"/>
      <c r="D111" s="182"/>
      <c r="E111" s="118"/>
    </row>
    <row r="112" spans="1:5" ht="12" customHeight="1">
      <c r="A112" s="12" t="s">
        <v>81</v>
      </c>
      <c r="B112" s="59" t="s">
        <v>272</v>
      </c>
      <c r="C112" s="463"/>
      <c r="D112" s="182"/>
      <c r="E112" s="118"/>
    </row>
    <row r="113" spans="1:5" ht="12" customHeight="1">
      <c r="A113" s="12" t="s">
        <v>82</v>
      </c>
      <c r="B113" s="60" t="s">
        <v>273</v>
      </c>
      <c r="C113" s="463"/>
      <c r="D113" s="182">
        <v>36830</v>
      </c>
      <c r="E113" s="118"/>
    </row>
    <row r="114" spans="1:5" ht="12" customHeight="1">
      <c r="A114" s="12" t="s">
        <v>83</v>
      </c>
      <c r="B114" s="60" t="s">
        <v>274</v>
      </c>
      <c r="C114" s="463"/>
      <c r="D114" s="182"/>
      <c r="E114" s="118"/>
    </row>
    <row r="115" spans="1:5" ht="12" customHeight="1">
      <c r="A115" s="12" t="s">
        <v>85</v>
      </c>
      <c r="B115" s="59" t="s">
        <v>275</v>
      </c>
      <c r="C115" s="463">
        <v>51405046</v>
      </c>
      <c r="D115" s="182">
        <v>51675046</v>
      </c>
      <c r="E115" s="118">
        <v>26779077</v>
      </c>
    </row>
    <row r="116" spans="1:5" ht="12" customHeight="1">
      <c r="A116" s="12" t="s">
        <v>131</v>
      </c>
      <c r="B116" s="59" t="s">
        <v>276</v>
      </c>
      <c r="C116" s="463"/>
      <c r="D116" s="182"/>
      <c r="E116" s="118"/>
    </row>
    <row r="117" spans="1:5" ht="12" customHeight="1">
      <c r="A117" s="12" t="s">
        <v>270</v>
      </c>
      <c r="B117" s="60" t="s">
        <v>277</v>
      </c>
      <c r="C117" s="463"/>
      <c r="D117" s="182"/>
      <c r="E117" s="118"/>
    </row>
    <row r="118" spans="1:5" ht="12" customHeight="1">
      <c r="A118" s="11" t="s">
        <v>271</v>
      </c>
      <c r="B118" s="61" t="s">
        <v>278</v>
      </c>
      <c r="C118" s="463"/>
      <c r="D118" s="182"/>
      <c r="E118" s="118"/>
    </row>
    <row r="119" spans="1:5" ht="12" customHeight="1">
      <c r="A119" s="12" t="s">
        <v>355</v>
      </c>
      <c r="B119" s="61" t="s">
        <v>279</v>
      </c>
      <c r="C119" s="463"/>
      <c r="D119" s="182"/>
      <c r="E119" s="118"/>
    </row>
    <row r="120" spans="1:5" ht="12" customHeight="1">
      <c r="A120" s="14" t="s">
        <v>356</v>
      </c>
      <c r="B120" s="61" t="s">
        <v>280</v>
      </c>
      <c r="C120" s="463">
        <v>542000</v>
      </c>
      <c r="D120" s="182">
        <v>11884000</v>
      </c>
      <c r="E120" s="118">
        <v>12205563</v>
      </c>
    </row>
    <row r="121" spans="1:5" ht="12" customHeight="1">
      <c r="A121" s="12" t="s">
        <v>360</v>
      </c>
      <c r="B121" s="9" t="s">
        <v>39</v>
      </c>
      <c r="C121" s="461">
        <v>16281788</v>
      </c>
      <c r="D121" s="180">
        <v>26331792</v>
      </c>
      <c r="E121" s="116"/>
    </row>
    <row r="122" spans="1:5" ht="12" customHeight="1">
      <c r="A122" s="12" t="s">
        <v>361</v>
      </c>
      <c r="B122" s="6" t="s">
        <v>363</v>
      </c>
      <c r="C122" s="461">
        <v>8330929</v>
      </c>
      <c r="D122" s="180">
        <v>18380933</v>
      </c>
      <c r="E122" s="116"/>
    </row>
    <row r="123" spans="1:5" ht="12" customHeight="1" thickBot="1">
      <c r="A123" s="16" t="s">
        <v>362</v>
      </c>
      <c r="B123" s="242" t="s">
        <v>364</v>
      </c>
      <c r="C123" s="501">
        <v>7950859</v>
      </c>
      <c r="D123" s="254">
        <v>7950859</v>
      </c>
      <c r="E123" s="248"/>
    </row>
    <row r="124" spans="1:5" ht="12" customHeight="1" thickBot="1">
      <c r="A124" s="240" t="s">
        <v>10</v>
      </c>
      <c r="B124" s="241" t="s">
        <v>281</v>
      </c>
      <c r="C124" s="255">
        <f>+C125+C127+C129</f>
        <v>54326893</v>
      </c>
      <c r="D124" s="179">
        <f>+D125+D127+D129</f>
        <v>96805337</v>
      </c>
      <c r="E124" s="249">
        <f>+E125+E127+E129</f>
        <v>30125760</v>
      </c>
    </row>
    <row r="125" spans="1:5" ht="12" customHeight="1">
      <c r="A125" s="13" t="s">
        <v>73</v>
      </c>
      <c r="B125" s="6" t="s">
        <v>156</v>
      </c>
      <c r="C125" s="500">
        <v>54326893</v>
      </c>
      <c r="D125" s="264">
        <v>92772494</v>
      </c>
      <c r="E125" s="117">
        <v>25592917</v>
      </c>
    </row>
    <row r="126" spans="1:5" ht="12" customHeight="1">
      <c r="A126" s="13" t="s">
        <v>74</v>
      </c>
      <c r="B126" s="10" t="s">
        <v>285</v>
      </c>
      <c r="C126" s="459"/>
      <c r="D126" s="264"/>
      <c r="E126" s="117"/>
    </row>
    <row r="127" spans="1:5" ht="12" customHeight="1">
      <c r="A127" s="13" t="s">
        <v>75</v>
      </c>
      <c r="B127" s="10" t="s">
        <v>132</v>
      </c>
      <c r="C127" s="458"/>
      <c r="D127" s="265"/>
      <c r="E127" s="116"/>
    </row>
    <row r="128" spans="1:5" ht="12" customHeight="1">
      <c r="A128" s="13" t="s">
        <v>76</v>
      </c>
      <c r="B128" s="10" t="s">
        <v>286</v>
      </c>
      <c r="C128" s="458"/>
      <c r="D128" s="265"/>
      <c r="E128" s="116"/>
    </row>
    <row r="129" spans="1:5" ht="12" customHeight="1">
      <c r="A129" s="13" t="s">
        <v>77</v>
      </c>
      <c r="B129" s="124" t="s">
        <v>158</v>
      </c>
      <c r="C129" s="458"/>
      <c r="D129" s="265">
        <v>4032843</v>
      </c>
      <c r="E129" s="116">
        <v>4532843</v>
      </c>
    </row>
    <row r="130" spans="1:5" ht="12" customHeight="1">
      <c r="A130" s="13" t="s">
        <v>84</v>
      </c>
      <c r="B130" s="123" t="s">
        <v>347</v>
      </c>
      <c r="C130" s="458"/>
      <c r="D130" s="265"/>
      <c r="E130" s="116"/>
    </row>
    <row r="131" spans="1:5" ht="24.75" customHeight="1">
      <c r="A131" s="13" t="s">
        <v>86</v>
      </c>
      <c r="B131" s="188" t="s">
        <v>291</v>
      </c>
      <c r="C131" s="458"/>
      <c r="D131" s="265"/>
      <c r="E131" s="116"/>
    </row>
    <row r="132" spans="1:5" ht="12" customHeight="1">
      <c r="A132" s="13" t="s">
        <v>133</v>
      </c>
      <c r="B132" s="60" t="s">
        <v>274</v>
      </c>
      <c r="C132" s="458"/>
      <c r="D132" s="265"/>
      <c r="E132" s="116"/>
    </row>
    <row r="133" spans="1:5" ht="12" customHeight="1">
      <c r="A133" s="13" t="s">
        <v>134</v>
      </c>
      <c r="B133" s="60" t="s">
        <v>290</v>
      </c>
      <c r="C133" s="458"/>
      <c r="D133" s="265">
        <v>1028112</v>
      </c>
      <c r="E133" s="116">
        <v>1028112</v>
      </c>
    </row>
    <row r="134" spans="1:5" ht="12" customHeight="1">
      <c r="A134" s="13" t="s">
        <v>135</v>
      </c>
      <c r="B134" s="60" t="s">
        <v>289</v>
      </c>
      <c r="C134" s="458"/>
      <c r="D134" s="265"/>
      <c r="E134" s="116"/>
    </row>
    <row r="135" spans="1:5" ht="12" customHeight="1">
      <c r="A135" s="13" t="s">
        <v>282</v>
      </c>
      <c r="B135" s="60" t="s">
        <v>277</v>
      </c>
      <c r="C135" s="458"/>
      <c r="D135" s="265"/>
      <c r="E135" s="116"/>
    </row>
    <row r="136" spans="1:5" ht="15">
      <c r="A136" s="13" t="s">
        <v>283</v>
      </c>
      <c r="B136" s="60" t="s">
        <v>288</v>
      </c>
      <c r="C136" s="180"/>
      <c r="D136" s="265"/>
      <c r="E136" s="116"/>
    </row>
    <row r="137" spans="1:5" ht="12" customHeight="1" thickBot="1">
      <c r="A137" s="11" t="s">
        <v>284</v>
      </c>
      <c r="B137" s="60" t="s">
        <v>287</v>
      </c>
      <c r="C137" s="182"/>
      <c r="D137" s="266">
        <v>3004731</v>
      </c>
      <c r="E137" s="118">
        <v>3004731</v>
      </c>
    </row>
    <row r="138" spans="1:5" ht="12" customHeight="1" thickBot="1">
      <c r="A138" s="18" t="s">
        <v>11</v>
      </c>
      <c r="B138" s="53" t="s">
        <v>365</v>
      </c>
      <c r="C138" s="179">
        <f>+C103+C124</f>
        <v>591099747</v>
      </c>
      <c r="D138" s="263">
        <f>+D103+D124</f>
        <v>655979878</v>
      </c>
      <c r="E138" s="115">
        <f>+E103+E124</f>
        <v>253663286</v>
      </c>
    </row>
    <row r="139" spans="1:5" ht="12" customHeight="1" thickBot="1">
      <c r="A139" s="18" t="s">
        <v>12</v>
      </c>
      <c r="B139" s="53" t="s">
        <v>440</v>
      </c>
      <c r="C139" s="179">
        <f>+C140+C141+C142</f>
        <v>0</v>
      </c>
      <c r="D139" s="263">
        <f>+D140+D141+D142</f>
        <v>0</v>
      </c>
      <c r="E139" s="115">
        <f>+E140+E141+E142</f>
        <v>0</v>
      </c>
    </row>
    <row r="140" spans="1:5" ht="12" customHeight="1">
      <c r="A140" s="13" t="s">
        <v>189</v>
      </c>
      <c r="B140" s="10" t="s">
        <v>373</v>
      </c>
      <c r="C140" s="180"/>
      <c r="D140" s="265"/>
      <c r="E140" s="116"/>
    </row>
    <row r="141" spans="1:5" ht="12" customHeight="1">
      <c r="A141" s="13" t="s">
        <v>190</v>
      </c>
      <c r="B141" s="10" t="s">
        <v>374</v>
      </c>
      <c r="C141" s="180"/>
      <c r="D141" s="265"/>
      <c r="E141" s="116"/>
    </row>
    <row r="142" spans="1:5" ht="12" customHeight="1" thickBot="1">
      <c r="A142" s="11" t="s">
        <v>191</v>
      </c>
      <c r="B142" s="10" t="s">
        <v>375</v>
      </c>
      <c r="C142" s="180"/>
      <c r="D142" s="265"/>
      <c r="E142" s="116"/>
    </row>
    <row r="143" spans="1:5" ht="12" customHeight="1" thickBot="1">
      <c r="A143" s="18" t="s">
        <v>13</v>
      </c>
      <c r="B143" s="53" t="s">
        <v>367</v>
      </c>
      <c r="C143" s="179">
        <f>SUM(C144:C149)</f>
        <v>0</v>
      </c>
      <c r="D143" s="263">
        <f>SUM(D144:D149)</f>
        <v>0</v>
      </c>
      <c r="E143" s="115">
        <f>SUM(E144:E149)</f>
        <v>0</v>
      </c>
    </row>
    <row r="144" spans="1:5" ht="12" customHeight="1">
      <c r="A144" s="13" t="s">
        <v>60</v>
      </c>
      <c r="B144" s="7" t="s">
        <v>376</v>
      </c>
      <c r="C144" s="180"/>
      <c r="D144" s="265"/>
      <c r="E144" s="116"/>
    </row>
    <row r="145" spans="1:5" ht="12" customHeight="1">
      <c r="A145" s="13" t="s">
        <v>61</v>
      </c>
      <c r="B145" s="7" t="s">
        <v>368</v>
      </c>
      <c r="C145" s="180"/>
      <c r="D145" s="265"/>
      <c r="E145" s="116"/>
    </row>
    <row r="146" spans="1:5" ht="12" customHeight="1">
      <c r="A146" s="13" t="s">
        <v>62</v>
      </c>
      <c r="B146" s="7" t="s">
        <v>369</v>
      </c>
      <c r="C146" s="180"/>
      <c r="D146" s="265"/>
      <c r="E146" s="116"/>
    </row>
    <row r="147" spans="1:5" ht="12" customHeight="1">
      <c r="A147" s="13" t="s">
        <v>120</v>
      </c>
      <c r="B147" s="7" t="s">
        <v>370</v>
      </c>
      <c r="C147" s="180"/>
      <c r="D147" s="265"/>
      <c r="E147" s="116"/>
    </row>
    <row r="148" spans="1:5" ht="12" customHeight="1">
      <c r="A148" s="13" t="s">
        <v>121</v>
      </c>
      <c r="B148" s="7" t="s">
        <v>371</v>
      </c>
      <c r="C148" s="180"/>
      <c r="D148" s="265"/>
      <c r="E148" s="116"/>
    </row>
    <row r="149" spans="1:5" ht="12" customHeight="1" thickBot="1">
      <c r="A149" s="16" t="s">
        <v>122</v>
      </c>
      <c r="B149" s="384" t="s">
        <v>372</v>
      </c>
      <c r="C149" s="254"/>
      <c r="D149" s="330"/>
      <c r="E149" s="248"/>
    </row>
    <row r="150" spans="1:5" ht="12" customHeight="1" thickBot="1">
      <c r="A150" s="18" t="s">
        <v>14</v>
      </c>
      <c r="B150" s="53" t="s">
        <v>380</v>
      </c>
      <c r="C150" s="185">
        <f>+C151+C152+C153+C154</f>
        <v>4440354</v>
      </c>
      <c r="D150" s="267">
        <f>+D151+D152+D153+D154</f>
        <v>6553159</v>
      </c>
      <c r="E150" s="221">
        <f>+E151+E152+E153+E154</f>
        <v>6553159</v>
      </c>
    </row>
    <row r="151" spans="1:5" ht="12" customHeight="1">
      <c r="A151" s="13" t="s">
        <v>63</v>
      </c>
      <c r="B151" s="7" t="s">
        <v>292</v>
      </c>
      <c r="C151" s="180"/>
      <c r="D151" s="265"/>
      <c r="E151" s="116"/>
    </row>
    <row r="152" spans="1:5" ht="12" customHeight="1">
      <c r="A152" s="13" t="s">
        <v>64</v>
      </c>
      <c r="B152" s="7" t="s">
        <v>293</v>
      </c>
      <c r="C152" s="116">
        <v>4440354</v>
      </c>
      <c r="D152" s="180">
        <v>6553159</v>
      </c>
      <c r="E152" s="116">
        <v>6553159</v>
      </c>
    </row>
    <row r="153" spans="1:5" ht="12" customHeight="1">
      <c r="A153" s="13" t="s">
        <v>209</v>
      </c>
      <c r="B153" s="7" t="s">
        <v>381</v>
      </c>
      <c r="C153" s="180"/>
      <c r="D153" s="265"/>
      <c r="E153" s="116"/>
    </row>
    <row r="154" spans="1:5" ht="12" customHeight="1" thickBot="1">
      <c r="A154" s="11" t="s">
        <v>210</v>
      </c>
      <c r="B154" s="5" t="s">
        <v>311</v>
      </c>
      <c r="C154" s="180"/>
      <c r="D154" s="265"/>
      <c r="E154" s="116"/>
    </row>
    <row r="155" spans="1:5" ht="12" customHeight="1" thickBot="1">
      <c r="A155" s="18" t="s">
        <v>15</v>
      </c>
      <c r="B155" s="53" t="s">
        <v>382</v>
      </c>
      <c r="C155" s="256">
        <f>SUM(C156:C160)</f>
        <v>0</v>
      </c>
      <c r="D155" s="268">
        <f>SUM(D156:D160)</f>
        <v>0</v>
      </c>
      <c r="E155" s="250">
        <f>SUM(E156:E160)</f>
        <v>0</v>
      </c>
    </row>
    <row r="156" spans="1:5" ht="12" customHeight="1">
      <c r="A156" s="13" t="s">
        <v>65</v>
      </c>
      <c r="B156" s="7" t="s">
        <v>377</v>
      </c>
      <c r="C156" s="180"/>
      <c r="D156" s="265"/>
      <c r="E156" s="116"/>
    </row>
    <row r="157" spans="1:5" ht="12" customHeight="1">
      <c r="A157" s="13" t="s">
        <v>66</v>
      </c>
      <c r="B157" s="7" t="s">
        <v>384</v>
      </c>
      <c r="C157" s="180"/>
      <c r="D157" s="265"/>
      <c r="E157" s="116"/>
    </row>
    <row r="158" spans="1:5" ht="12" customHeight="1">
      <c r="A158" s="13" t="s">
        <v>221</v>
      </c>
      <c r="B158" s="7" t="s">
        <v>379</v>
      </c>
      <c r="C158" s="180"/>
      <c r="D158" s="265"/>
      <c r="E158" s="116"/>
    </row>
    <row r="159" spans="1:5" ht="12" customHeight="1">
      <c r="A159" s="13" t="s">
        <v>222</v>
      </c>
      <c r="B159" s="7" t="s">
        <v>385</v>
      </c>
      <c r="C159" s="180"/>
      <c r="D159" s="265"/>
      <c r="E159" s="116"/>
    </row>
    <row r="160" spans="1:5" ht="12" customHeight="1" thickBot="1">
      <c r="A160" s="13" t="s">
        <v>383</v>
      </c>
      <c r="B160" s="7" t="s">
        <v>386</v>
      </c>
      <c r="C160" s="180"/>
      <c r="D160" s="265"/>
      <c r="E160" s="116"/>
    </row>
    <row r="161" spans="1:5" ht="12" customHeight="1" thickBot="1">
      <c r="A161" s="18" t="s">
        <v>16</v>
      </c>
      <c r="B161" s="53" t="s">
        <v>387</v>
      </c>
      <c r="C161" s="257"/>
      <c r="D161" s="269"/>
      <c r="E161" s="251"/>
    </row>
    <row r="162" spans="1:5" ht="15" customHeight="1" thickBot="1">
      <c r="A162" s="18" t="s">
        <v>17</v>
      </c>
      <c r="B162" s="53" t="s">
        <v>388</v>
      </c>
      <c r="C162" s="257"/>
      <c r="D162" s="269"/>
      <c r="E162" s="251"/>
    </row>
    <row r="163" spans="1:5" s="191" customFormat="1" ht="12.75" customHeight="1" thickBot="1">
      <c r="A163" s="18" t="s">
        <v>18</v>
      </c>
      <c r="B163" s="53" t="s">
        <v>390</v>
      </c>
      <c r="C163" s="258">
        <f>+C139+C143+C150+C155+C161+C162</f>
        <v>4440354</v>
      </c>
      <c r="D163" s="270">
        <f>+D139+D143+D150+D155+D161+D162</f>
        <v>6553159</v>
      </c>
      <c r="E163" s="252">
        <f>+E139+E143+E150+E155+E161+E162</f>
        <v>6553159</v>
      </c>
    </row>
    <row r="164" spans="1:5" ht="15.75" thickBot="1">
      <c r="A164" s="125" t="s">
        <v>19</v>
      </c>
      <c r="B164" s="166" t="s">
        <v>389</v>
      </c>
      <c r="C164" s="258">
        <f>+C138+C163</f>
        <v>595540101</v>
      </c>
      <c r="D164" s="270">
        <f>+D138+D163</f>
        <v>662533037</v>
      </c>
      <c r="E164" s="252">
        <f>+E138+E163</f>
        <v>260216445</v>
      </c>
    </row>
    <row r="165" spans="1:5" s="504" customFormat="1" ht="15">
      <c r="A165" s="505"/>
      <c r="B165" s="506"/>
      <c r="C165" s="507">
        <f>C96-C164</f>
        <v>-12819184</v>
      </c>
      <c r="D165" s="507">
        <f>D96-D164</f>
        <v>-12939184</v>
      </c>
      <c r="E165" s="507"/>
    </row>
    <row r="166" spans="1:5" ht="15">
      <c r="A166" s="548" t="s">
        <v>294</v>
      </c>
      <c r="B166" s="548"/>
      <c r="C166" s="548"/>
      <c r="D166" s="548"/>
      <c r="E166" s="548"/>
    </row>
    <row r="167" spans="1:5" ht="15" customHeight="1" thickBot="1">
      <c r="A167" s="540" t="s">
        <v>108</v>
      </c>
      <c r="B167" s="540"/>
      <c r="C167" s="127"/>
      <c r="E167" s="127">
        <f>E98</f>
        <v>0</v>
      </c>
    </row>
    <row r="168" spans="1:5" ht="25.5" customHeight="1" thickBot="1">
      <c r="A168" s="18">
        <v>1</v>
      </c>
      <c r="B168" s="22" t="s">
        <v>391</v>
      </c>
      <c r="C168" s="262">
        <f>+C70-C137</f>
        <v>0</v>
      </c>
      <c r="D168" s="179">
        <f>+D70-D137</f>
        <v>-3004731</v>
      </c>
      <c r="E168" s="115">
        <f>+E70-E137</f>
        <v>-3004731</v>
      </c>
    </row>
    <row r="169" spans="1:5" ht="32.25" customHeight="1" thickBot="1">
      <c r="A169" s="18" t="s">
        <v>10</v>
      </c>
      <c r="B169" s="22" t="s">
        <v>397</v>
      </c>
      <c r="C169" s="179">
        <f>+C94-C162</f>
        <v>0</v>
      </c>
      <c r="D169" s="179">
        <f>+D94-D162</f>
        <v>0</v>
      </c>
      <c r="E169" s="115">
        <f>+E94-E162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0" max="4" man="1"/>
    <brk id="14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7"/>
  <sheetViews>
    <sheetView zoomScale="120" zoomScaleNormal="120" zoomScaleSheetLayoutView="100" workbookViewId="0" topLeftCell="C160">
      <selection activeCell="G160" sqref="G1:O16384"/>
    </sheetView>
  </sheetViews>
  <sheetFormatPr defaultColWidth="9.375" defaultRowHeight="12.75"/>
  <cols>
    <col min="1" max="1" width="9.50390625" style="167" customWidth="1"/>
    <col min="2" max="2" width="65.75390625" style="167" customWidth="1"/>
    <col min="3" max="3" width="17.75390625" style="168" customWidth="1"/>
    <col min="4" max="5" width="17.75390625" style="189" customWidth="1"/>
    <col min="6" max="16384" width="9.375" style="189" customWidth="1"/>
  </cols>
  <sheetData>
    <row r="1" spans="1:5" ht="15">
      <c r="A1" s="385"/>
      <c r="B1" s="535" t="str">
        <f>CONCATENATE("3. melléklet ",IB_ALAPADATOK!B7," ",IB_ALAPADATOK!C7," ",IB_ALAPADATOK!D7," ",IB_ALAPADATOK!E7)</f>
        <v>3. melléklet a 2022 I. félévi költségvetési tájékoztatóhoz</v>
      </c>
      <c r="C1" s="536"/>
      <c r="D1" s="536"/>
      <c r="E1" s="536"/>
    </row>
    <row r="2" spans="1:5" ht="15">
      <c r="A2" s="537" t="str">
        <f>CONCATENATE(IB_ALAPADATOK!B3)</f>
        <v>Balatonvilágos Község Önkormányzata</v>
      </c>
      <c r="B2" s="538"/>
      <c r="C2" s="538"/>
      <c r="D2" s="538"/>
      <c r="E2" s="538"/>
    </row>
    <row r="3" spans="1:5" ht="15">
      <c r="A3" s="537" t="str">
        <f>CONCATENATE("Tájékoztatató a ",IB_ALAPADATOK!C7," évi költségvetés  ",IB_ALAPADATOK!D8," alakulásáról")</f>
        <v>Tájékoztatató a 2022 évi költségvetés  I. féléves alakulásáról</v>
      </c>
      <c r="B3" s="537"/>
      <c r="C3" s="539"/>
      <c r="D3" s="537"/>
      <c r="E3" s="537"/>
    </row>
    <row r="4" spans="1:5" ht="15">
      <c r="A4" s="537" t="s">
        <v>518</v>
      </c>
      <c r="B4" s="537"/>
      <c r="C4" s="539"/>
      <c r="D4" s="537"/>
      <c r="E4" s="537"/>
    </row>
    <row r="5" spans="1:5" ht="15">
      <c r="A5" s="385"/>
      <c r="B5" s="385"/>
      <c r="C5" s="386"/>
      <c r="D5" s="387"/>
      <c r="E5" s="387"/>
    </row>
    <row r="6" spans="1:5" ht="15.75" customHeight="1">
      <c r="A6" s="549" t="s">
        <v>6</v>
      </c>
      <c r="B6" s="549"/>
      <c r="C6" s="549"/>
      <c r="D6" s="549"/>
      <c r="E6" s="549"/>
    </row>
    <row r="7" spans="1:5" ht="15.75" customHeight="1" thickBot="1">
      <c r="A7" s="551" t="s">
        <v>106</v>
      </c>
      <c r="B7" s="551"/>
      <c r="C7" s="388"/>
      <c r="D7" s="387"/>
      <c r="E7" s="388" t="str">
        <f>CONCATENATE('2.sz.mell.'!E7)</f>
        <v> Forintban!</v>
      </c>
    </row>
    <row r="8" spans="1:5" ht="15">
      <c r="A8" s="541" t="s">
        <v>55</v>
      </c>
      <c r="B8" s="543" t="s">
        <v>8</v>
      </c>
      <c r="C8" s="545" t="str">
        <f>+CONCATENATE(LEFT(IB_ÖSSZEFÜGGÉSEK!A6,4),". évi")</f>
        <v>2022. évi</v>
      </c>
      <c r="D8" s="546"/>
      <c r="E8" s="547"/>
    </row>
    <row r="9" spans="1:5" ht="23.25" thickBot="1">
      <c r="A9" s="542"/>
      <c r="B9" s="544"/>
      <c r="C9" s="260" t="s">
        <v>437</v>
      </c>
      <c r="D9" s="259" t="s">
        <v>438</v>
      </c>
      <c r="E9" s="374" t="str">
        <f>+CONCATENATE(LEFT(IB_ÖSSZEFÜGGÉSEK!A6,4),". VI. 30.",CHAR(10),"teljesítés")</f>
        <v>2022.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578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372742</v>
      </c>
      <c r="D26" s="179">
        <f>+D27+D28+D29+D30+D31</f>
        <v>372742</v>
      </c>
      <c r="E26" s="115">
        <f>+E27+E28+E29+E30+E31</f>
        <v>332642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461">
        <v>372742</v>
      </c>
      <c r="D29" s="461">
        <v>372742</v>
      </c>
      <c r="E29" s="116">
        <v>332642</v>
      </c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498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499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500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501</v>
      </c>
      <c r="C37" s="180"/>
      <c r="D37" s="180"/>
      <c r="E37" s="116"/>
    </row>
    <row r="38" spans="1:5" s="191" customFormat="1" ht="12" customHeight="1">
      <c r="A38" s="12" t="s">
        <v>502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503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504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22546167</v>
      </c>
      <c r="D41" s="179">
        <f>SUM(D42:D52)</f>
        <v>22546167</v>
      </c>
      <c r="E41" s="115">
        <f>SUM(E42:E52)</f>
        <v>13713795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461">
        <v>16331082</v>
      </c>
      <c r="D43" s="461">
        <v>16331082</v>
      </c>
      <c r="E43" s="116">
        <v>9848901</v>
      </c>
    </row>
    <row r="44" spans="1:5" s="191" customFormat="1" ht="12" customHeight="1">
      <c r="A44" s="12" t="s">
        <v>62</v>
      </c>
      <c r="B44" s="193" t="s">
        <v>200</v>
      </c>
      <c r="C44" s="461">
        <v>2500000</v>
      </c>
      <c r="D44" s="461">
        <v>2500000</v>
      </c>
      <c r="E44" s="116"/>
    </row>
    <row r="45" spans="1:5" s="191" customFormat="1" ht="12" customHeight="1">
      <c r="A45" s="12" t="s">
        <v>120</v>
      </c>
      <c r="B45" s="193" t="s">
        <v>201</v>
      </c>
      <c r="C45" s="461"/>
      <c r="D45" s="461"/>
      <c r="E45" s="116">
        <v>1556516</v>
      </c>
    </row>
    <row r="46" spans="1:5" s="191" customFormat="1" ht="12" customHeight="1">
      <c r="A46" s="12" t="s">
        <v>121</v>
      </c>
      <c r="B46" s="193" t="s">
        <v>202</v>
      </c>
      <c r="C46" s="461"/>
      <c r="D46" s="461"/>
      <c r="E46" s="116"/>
    </row>
    <row r="47" spans="1:5" s="191" customFormat="1" ht="12" customHeight="1">
      <c r="A47" s="12" t="s">
        <v>122</v>
      </c>
      <c r="B47" s="193" t="s">
        <v>203</v>
      </c>
      <c r="C47" s="461">
        <v>3715085</v>
      </c>
      <c r="D47" s="461">
        <v>3715085</v>
      </c>
      <c r="E47" s="116">
        <v>2308378</v>
      </c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505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22918909</v>
      </c>
      <c r="D69" s="185">
        <f>+D11+D19+D26+D33+D41+D53+D59+D64</f>
        <v>22918909</v>
      </c>
      <c r="E69" s="221">
        <f>+E11+E19+E26+E33+E41+E53+E59+E64</f>
        <v>14046437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512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513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514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22918909</v>
      </c>
      <c r="D94" s="185">
        <f>+D69+D93</f>
        <v>22918909</v>
      </c>
      <c r="E94" s="221">
        <f>+E69+E93</f>
        <v>14046437</v>
      </c>
    </row>
    <row r="95" spans="1:3" s="191" customFormat="1" ht="15" customHeight="1">
      <c r="A95" s="3"/>
      <c r="B95" s="4"/>
      <c r="C95" s="126"/>
    </row>
    <row r="96" spans="1:5" ht="16.5" customHeight="1">
      <c r="A96" s="550" t="s">
        <v>37</v>
      </c>
      <c r="B96" s="550"/>
      <c r="C96" s="550"/>
      <c r="D96" s="550"/>
      <c r="E96" s="550"/>
    </row>
    <row r="97" spans="1:5" s="201" customFormat="1" ht="16.5" customHeight="1" thickBot="1">
      <c r="A97" s="552" t="s">
        <v>107</v>
      </c>
      <c r="B97" s="552"/>
      <c r="C97" s="57"/>
      <c r="E97" s="57" t="str">
        <f>E7</f>
        <v> Forintban!</v>
      </c>
    </row>
    <row r="98" spans="1:5" ht="15">
      <c r="A98" s="541" t="s">
        <v>55</v>
      </c>
      <c r="B98" s="543" t="s">
        <v>439</v>
      </c>
      <c r="C98" s="545" t="str">
        <f>+CONCATENATE(LEFT(IB_ÖSSZEFÜGGÉSEK!A6,4),". évi")</f>
        <v>2022. évi</v>
      </c>
      <c r="D98" s="546"/>
      <c r="E98" s="547"/>
    </row>
    <row r="99" spans="1:5" ht="23.25" thickBot="1">
      <c r="A99" s="542"/>
      <c r="B99" s="544"/>
      <c r="C99" s="260" t="s">
        <v>437</v>
      </c>
      <c r="D99" s="259" t="s">
        <v>438</v>
      </c>
      <c r="E99" s="374" t="str">
        <f>+CONCATENATE(LEFT(IB_ÖSSZEFÜGGÉSEK!A6,4),". VI. 30.",CHAR(10),"teljesítés")</f>
        <v>2022.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8099725</v>
      </c>
      <c r="D101" s="178">
        <f>D102+D103+D104+D105+D106+D119</f>
        <v>7979725</v>
      </c>
      <c r="E101" s="246">
        <f>E102+E103+E104+E105+E106+E119</f>
        <v>1614118</v>
      </c>
    </row>
    <row r="102" spans="1:5" ht="12" customHeight="1">
      <c r="A102" s="15" t="s">
        <v>67</v>
      </c>
      <c r="B102" s="8" t="s">
        <v>38</v>
      </c>
      <c r="C102" s="462"/>
      <c r="D102" s="462"/>
      <c r="E102" s="247">
        <v>0</v>
      </c>
    </row>
    <row r="103" spans="1:5" ht="12" customHeight="1">
      <c r="A103" s="12" t="s">
        <v>68</v>
      </c>
      <c r="B103" s="6" t="s">
        <v>128</v>
      </c>
      <c r="C103" s="461"/>
      <c r="D103" s="461"/>
      <c r="E103" s="116"/>
    </row>
    <row r="104" spans="1:5" ht="12" customHeight="1">
      <c r="A104" s="12" t="s">
        <v>69</v>
      </c>
      <c r="B104" s="6" t="s">
        <v>95</v>
      </c>
      <c r="C104" s="463">
        <v>6240000</v>
      </c>
      <c r="D104" s="463">
        <v>6240000</v>
      </c>
      <c r="E104" s="118">
        <v>1134118</v>
      </c>
    </row>
    <row r="105" spans="1:5" ht="12" customHeight="1">
      <c r="A105" s="12" t="s">
        <v>70</v>
      </c>
      <c r="B105" s="9" t="s">
        <v>129</v>
      </c>
      <c r="C105" s="463"/>
      <c r="D105" s="463"/>
      <c r="E105" s="118"/>
    </row>
    <row r="106" spans="1:5" ht="12" customHeight="1">
      <c r="A106" s="12" t="s">
        <v>79</v>
      </c>
      <c r="B106" s="17" t="s">
        <v>130</v>
      </c>
      <c r="C106" s="463">
        <v>1859725</v>
      </c>
      <c r="D106" s="463">
        <v>1739725</v>
      </c>
      <c r="E106" s="118">
        <v>480000</v>
      </c>
    </row>
    <row r="107" spans="1:5" ht="12" customHeight="1">
      <c r="A107" s="12" t="s">
        <v>71</v>
      </c>
      <c r="B107" s="6" t="s">
        <v>359</v>
      </c>
      <c r="C107" s="463"/>
      <c r="D107" s="182"/>
      <c r="E107" s="118"/>
    </row>
    <row r="108" spans="1:5" ht="12" customHeight="1">
      <c r="A108" s="12" t="s">
        <v>72</v>
      </c>
      <c r="B108" s="61" t="s">
        <v>358</v>
      </c>
      <c r="C108" s="463"/>
      <c r="D108" s="182"/>
      <c r="E108" s="118"/>
    </row>
    <row r="109" spans="1:5" ht="12" customHeight="1">
      <c r="A109" s="12" t="s">
        <v>80</v>
      </c>
      <c r="B109" s="61" t="s">
        <v>357</v>
      </c>
      <c r="C109" s="463"/>
      <c r="D109" s="182"/>
      <c r="E109" s="118"/>
    </row>
    <row r="110" spans="1:5" ht="12" customHeight="1">
      <c r="A110" s="12" t="s">
        <v>81</v>
      </c>
      <c r="B110" s="59" t="s">
        <v>272</v>
      </c>
      <c r="C110" s="463"/>
      <c r="D110" s="182"/>
      <c r="E110" s="118"/>
    </row>
    <row r="111" spans="1:5" ht="12" customHeight="1">
      <c r="A111" s="12" t="s">
        <v>82</v>
      </c>
      <c r="B111" s="60" t="s">
        <v>273</v>
      </c>
      <c r="C111" s="463"/>
      <c r="D111" s="182"/>
      <c r="E111" s="118"/>
    </row>
    <row r="112" spans="1:5" ht="12" customHeight="1">
      <c r="A112" s="12" t="s">
        <v>83</v>
      </c>
      <c r="B112" s="60" t="s">
        <v>274</v>
      </c>
      <c r="C112" s="463"/>
      <c r="D112" s="182"/>
      <c r="E112" s="118"/>
    </row>
    <row r="113" spans="1:5" ht="12" customHeight="1">
      <c r="A113" s="12" t="s">
        <v>85</v>
      </c>
      <c r="B113" s="59" t="s">
        <v>275</v>
      </c>
      <c r="C113" s="463"/>
      <c r="D113" s="182"/>
      <c r="E113" s="118"/>
    </row>
    <row r="114" spans="1:5" ht="12" customHeight="1">
      <c r="A114" s="12" t="s">
        <v>131</v>
      </c>
      <c r="B114" s="59" t="s">
        <v>276</v>
      </c>
      <c r="C114" s="463"/>
      <c r="D114" s="182"/>
      <c r="E114" s="118"/>
    </row>
    <row r="115" spans="1:5" ht="12" customHeight="1">
      <c r="A115" s="12" t="s">
        <v>270</v>
      </c>
      <c r="B115" s="60" t="s">
        <v>277</v>
      </c>
      <c r="C115" s="463"/>
      <c r="D115" s="182"/>
      <c r="E115" s="118"/>
    </row>
    <row r="116" spans="1:5" ht="12" customHeight="1">
      <c r="A116" s="11" t="s">
        <v>271</v>
      </c>
      <c r="B116" s="61" t="s">
        <v>278</v>
      </c>
      <c r="C116" s="463"/>
      <c r="D116" s="182"/>
      <c r="E116" s="118"/>
    </row>
    <row r="117" spans="1:5" ht="12" customHeight="1">
      <c r="A117" s="12" t="s">
        <v>355</v>
      </c>
      <c r="B117" s="61" t="s">
        <v>279</v>
      </c>
      <c r="C117" s="463"/>
      <c r="D117" s="182"/>
      <c r="E117" s="118"/>
    </row>
    <row r="118" spans="1:5" ht="12" customHeight="1">
      <c r="A118" s="14" t="s">
        <v>356</v>
      </c>
      <c r="B118" s="61" t="s">
        <v>280</v>
      </c>
      <c r="C118" s="463">
        <v>1859725</v>
      </c>
      <c r="D118" s="182">
        <v>1739725</v>
      </c>
      <c r="E118" s="118">
        <v>480000</v>
      </c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2000000</v>
      </c>
      <c r="D122" s="179">
        <f>+D123+D125+D127</f>
        <v>2000000</v>
      </c>
      <c r="E122" s="249">
        <f>+E123+E125+E127</f>
        <v>500000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>
        <v>2000000</v>
      </c>
      <c r="D127" s="180">
        <v>2000000</v>
      </c>
      <c r="E127" s="116">
        <v>500000</v>
      </c>
    </row>
    <row r="128" spans="1:5" ht="12" customHeight="1">
      <c r="A128" s="13" t="s">
        <v>84</v>
      </c>
      <c r="B128" s="123" t="s">
        <v>347</v>
      </c>
      <c r="C128" s="180"/>
      <c r="D128" s="180"/>
      <c r="E128" s="116"/>
    </row>
    <row r="129" spans="1:5" ht="12" customHeight="1">
      <c r="A129" s="13" t="s">
        <v>86</v>
      </c>
      <c r="B129" s="188" t="s">
        <v>291</v>
      </c>
      <c r="C129" s="180"/>
      <c r="D129" s="180"/>
      <c r="E129" s="116"/>
    </row>
    <row r="130" spans="1:5" ht="15">
      <c r="A130" s="13" t="s">
        <v>133</v>
      </c>
      <c r="B130" s="60" t="s">
        <v>274</v>
      </c>
      <c r="C130" s="180"/>
      <c r="D130" s="180"/>
      <c r="E130" s="116"/>
    </row>
    <row r="131" spans="1:5" ht="12" customHeight="1">
      <c r="A131" s="13" t="s">
        <v>134</v>
      </c>
      <c r="B131" s="60" t="s">
        <v>290</v>
      </c>
      <c r="C131" s="180"/>
      <c r="D131" s="180"/>
      <c r="E131" s="116"/>
    </row>
    <row r="132" spans="1:5" ht="12" customHeight="1">
      <c r="A132" s="13" t="s">
        <v>135</v>
      </c>
      <c r="B132" s="60" t="s">
        <v>289</v>
      </c>
      <c r="C132" s="180"/>
      <c r="D132" s="180"/>
      <c r="E132" s="116"/>
    </row>
    <row r="133" spans="1:5" ht="12" customHeight="1">
      <c r="A133" s="13" t="s">
        <v>282</v>
      </c>
      <c r="B133" s="60" t="s">
        <v>277</v>
      </c>
      <c r="C133" s="180">
        <v>2000000</v>
      </c>
      <c r="D133" s="180">
        <v>2000000</v>
      </c>
      <c r="E133" s="116">
        <v>500000</v>
      </c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5.7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10099725</v>
      </c>
      <c r="D136" s="263">
        <f>+D101+D122</f>
        <v>9979725</v>
      </c>
      <c r="E136" s="115">
        <f>+E101+E122</f>
        <v>2114118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5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10099725</v>
      </c>
      <c r="D162" s="270">
        <f>+D136+D161</f>
        <v>9979725</v>
      </c>
      <c r="E162" s="252">
        <f>+E136+E161</f>
        <v>2114118</v>
      </c>
    </row>
    <row r="163" spans="3:4" ht="15">
      <c r="C163" s="446">
        <f>C94-C162</f>
        <v>12819184</v>
      </c>
      <c r="D163" s="446">
        <f>D94-D162</f>
        <v>12939184</v>
      </c>
    </row>
    <row r="164" spans="1:5" ht="15">
      <c r="A164" s="548" t="s">
        <v>294</v>
      </c>
      <c r="B164" s="548"/>
      <c r="C164" s="548"/>
      <c r="D164" s="548"/>
      <c r="E164" s="548"/>
    </row>
    <row r="165" spans="1:5" ht="15" customHeight="1" thickBot="1">
      <c r="A165" s="540" t="s">
        <v>108</v>
      </c>
      <c r="B165" s="540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12819184</v>
      </c>
      <c r="D166" s="179">
        <f>+D69-D136</f>
        <v>12939184</v>
      </c>
      <c r="E166" s="115">
        <f>+E69-E136</f>
        <v>11932319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="120" zoomScaleNormal="120" zoomScaleSheetLayoutView="100" workbookViewId="0" topLeftCell="A1">
      <selection activeCell="A2" sqref="A2:E2"/>
    </sheetView>
  </sheetViews>
  <sheetFormatPr defaultColWidth="9.375" defaultRowHeight="12.75"/>
  <cols>
    <col min="1" max="1" width="9.50390625" style="167" customWidth="1"/>
    <col min="2" max="2" width="65.75390625" style="167" customWidth="1"/>
    <col min="3" max="3" width="17.75390625" style="168" customWidth="1"/>
    <col min="4" max="5" width="17.75390625" style="189" customWidth="1"/>
    <col min="6" max="16384" width="9.375" style="189" customWidth="1"/>
  </cols>
  <sheetData>
    <row r="1" spans="1:5" ht="15">
      <c r="A1" s="385"/>
      <c r="B1" s="535" t="str">
        <f>CONCATENATE("4. melléklet ",IB_ALAPADATOK!B7," ",IB_ALAPADATOK!C7," ",IB_ALAPADATOK!D7," ",IB_ALAPADATOK!E7)</f>
        <v>4. melléklet a 2022 I. félévi költségvetési tájékoztatóhoz</v>
      </c>
      <c r="C1" s="536"/>
      <c r="D1" s="536"/>
      <c r="E1" s="536"/>
    </row>
    <row r="2" spans="1:5" ht="15">
      <c r="A2" s="537" t="str">
        <f>CONCATENATE(IB_ALAPADATOK!B3)</f>
        <v>Balatonvilágos Község Önkormányzata</v>
      </c>
      <c r="B2" s="538"/>
      <c r="C2" s="538"/>
      <c r="D2" s="538"/>
      <c r="E2" s="538"/>
    </row>
    <row r="3" spans="1:5" ht="15">
      <c r="A3" s="537" t="str">
        <f>CONCATENATE("Tájékoztatató a ",IB_ALAPADATOK!C7," évi költségvetés  ",IB_ALAPADATOK!D8," alakulásáról")</f>
        <v>Tájékoztatató a 2022 évi költségvetés  I. féléves alakulásáról</v>
      </c>
      <c r="B3" s="537"/>
      <c r="C3" s="539"/>
      <c r="D3" s="537"/>
      <c r="E3" s="537"/>
    </row>
    <row r="4" spans="1:5" ht="15">
      <c r="A4" s="537" t="s">
        <v>518</v>
      </c>
      <c r="B4" s="537"/>
      <c r="C4" s="539"/>
      <c r="D4" s="537"/>
      <c r="E4" s="537"/>
    </row>
    <row r="5" spans="1:5" ht="15">
      <c r="A5" s="385"/>
      <c r="B5" s="385"/>
      <c r="C5" s="386"/>
      <c r="D5" s="387"/>
      <c r="E5" s="387"/>
    </row>
    <row r="6" spans="1:5" ht="15.75" customHeight="1">
      <c r="A6" s="549" t="s">
        <v>6</v>
      </c>
      <c r="B6" s="549"/>
      <c r="C6" s="549"/>
      <c r="D6" s="549"/>
      <c r="E6" s="549"/>
    </row>
    <row r="7" spans="1:5" ht="15.75" customHeight="1" thickBot="1">
      <c r="A7" s="551" t="s">
        <v>106</v>
      </c>
      <c r="B7" s="551"/>
      <c r="C7" s="388"/>
      <c r="D7" s="387"/>
      <c r="E7" s="388" t="str">
        <f>CONCATENATE('3.sz.mell.'!E7)</f>
        <v> Forintban!</v>
      </c>
    </row>
    <row r="8" spans="1:5" ht="15">
      <c r="A8" s="541" t="s">
        <v>55</v>
      </c>
      <c r="B8" s="543" t="s">
        <v>8</v>
      </c>
      <c r="C8" s="545" t="str">
        <f>+CONCATENATE(LEFT(IB_ÖSSZEFÜGGÉSEK!A6,4),". évi")</f>
        <v>2022. évi</v>
      </c>
      <c r="D8" s="546"/>
      <c r="E8" s="547"/>
    </row>
    <row r="9" spans="1:5" ht="23.25" thickBot="1">
      <c r="A9" s="542"/>
      <c r="B9" s="544"/>
      <c r="C9" s="260" t="s">
        <v>437</v>
      </c>
      <c r="D9" s="259" t="s">
        <v>438</v>
      </c>
      <c r="E9" s="374" t="str">
        <f>+CONCATENATE(LEFT(IB_ÖSSZEFÜGGÉSEK!A6,4),". VI. 30.",CHAR(10),"teljesítés")</f>
        <v>2022. VI. 30.
teljesítés</v>
      </c>
    </row>
    <row r="10" spans="1:5" s="190" customFormat="1" ht="12" customHeight="1" thickBot="1">
      <c r="A10" s="186" t="s">
        <v>404</v>
      </c>
      <c r="B10" s="187" t="s">
        <v>405</v>
      </c>
      <c r="C10" s="187" t="s">
        <v>406</v>
      </c>
      <c r="D10" s="187" t="s">
        <v>408</v>
      </c>
      <c r="E10" s="261" t="s">
        <v>407</v>
      </c>
    </row>
    <row r="11" spans="1:5" s="191" customFormat="1" ht="12" customHeight="1" thickBot="1">
      <c r="A11" s="18" t="s">
        <v>9</v>
      </c>
      <c r="B11" s="19" t="s">
        <v>174</v>
      </c>
      <c r="C11" s="179">
        <f>+C12+C13+C14+C16+C17+C18</f>
        <v>0</v>
      </c>
      <c r="D11" s="179">
        <f>+D12+D13+D14+D16+D17+D18</f>
        <v>0</v>
      </c>
      <c r="E11" s="115">
        <f>+E12+E13+E14+E16+E17+E18</f>
        <v>0</v>
      </c>
    </row>
    <row r="12" spans="1:5" s="191" customFormat="1" ht="12" customHeight="1">
      <c r="A12" s="13" t="s">
        <v>67</v>
      </c>
      <c r="B12" s="192" t="s">
        <v>175</v>
      </c>
      <c r="C12" s="181"/>
      <c r="D12" s="181"/>
      <c r="E12" s="117"/>
    </row>
    <row r="13" spans="1:5" s="191" customFormat="1" ht="12" customHeight="1">
      <c r="A13" s="12" t="s">
        <v>68</v>
      </c>
      <c r="B13" s="193" t="s">
        <v>176</v>
      </c>
      <c r="C13" s="180"/>
      <c r="D13" s="180"/>
      <c r="E13" s="116"/>
    </row>
    <row r="14" spans="1:5" s="191" customFormat="1" ht="12" customHeight="1">
      <c r="A14" s="12" t="s">
        <v>69</v>
      </c>
      <c r="B14" s="193" t="s">
        <v>177</v>
      </c>
      <c r="C14" s="180"/>
      <c r="D14" s="180"/>
      <c r="E14" s="116"/>
    </row>
    <row r="15" spans="1:5" s="191" customFormat="1" ht="12" customHeight="1">
      <c r="A15" s="12" t="s">
        <v>70</v>
      </c>
      <c r="B15" s="193" t="s">
        <v>578</v>
      </c>
      <c r="C15" s="180"/>
      <c r="D15" s="180"/>
      <c r="E15" s="116"/>
    </row>
    <row r="16" spans="1:5" s="191" customFormat="1" ht="12" customHeight="1">
      <c r="A16" s="12" t="s">
        <v>102</v>
      </c>
      <c r="B16" s="193" t="s">
        <v>178</v>
      </c>
      <c r="C16" s="180"/>
      <c r="D16" s="180"/>
      <c r="E16" s="116"/>
    </row>
    <row r="17" spans="1:5" s="191" customFormat="1" ht="12" customHeight="1">
      <c r="A17" s="14" t="s">
        <v>71</v>
      </c>
      <c r="B17" s="123" t="s">
        <v>349</v>
      </c>
      <c r="C17" s="180"/>
      <c r="D17" s="180"/>
      <c r="E17" s="116"/>
    </row>
    <row r="18" spans="1:5" s="191" customFormat="1" ht="12" customHeight="1" thickBot="1">
      <c r="A18" s="14" t="s">
        <v>72</v>
      </c>
      <c r="B18" s="124" t="s">
        <v>350</v>
      </c>
      <c r="C18" s="180"/>
      <c r="D18" s="180"/>
      <c r="E18" s="116"/>
    </row>
    <row r="19" spans="1:5" s="191" customFormat="1" ht="12" customHeight="1" thickBot="1">
      <c r="A19" s="18" t="s">
        <v>10</v>
      </c>
      <c r="B19" s="122" t="s">
        <v>179</v>
      </c>
      <c r="C19" s="179">
        <f>+C20+C21+C22+C23+C24</f>
        <v>0</v>
      </c>
      <c r="D19" s="179">
        <f>+D20+D21+D22+D23+D24</f>
        <v>0</v>
      </c>
      <c r="E19" s="115">
        <f>+E20+E21+E22+E23+E24</f>
        <v>0</v>
      </c>
    </row>
    <row r="20" spans="1:5" s="191" customFormat="1" ht="12" customHeight="1">
      <c r="A20" s="13" t="s">
        <v>73</v>
      </c>
      <c r="B20" s="192" t="s">
        <v>180</v>
      </c>
      <c r="C20" s="181"/>
      <c r="D20" s="181"/>
      <c r="E20" s="117"/>
    </row>
    <row r="21" spans="1:5" s="191" customFormat="1" ht="12" customHeight="1">
      <c r="A21" s="12" t="s">
        <v>74</v>
      </c>
      <c r="B21" s="193" t="s">
        <v>181</v>
      </c>
      <c r="C21" s="180"/>
      <c r="D21" s="180"/>
      <c r="E21" s="116"/>
    </row>
    <row r="22" spans="1:5" s="191" customFormat="1" ht="12" customHeight="1">
      <c r="A22" s="12" t="s">
        <v>75</v>
      </c>
      <c r="B22" s="193" t="s">
        <v>341</v>
      </c>
      <c r="C22" s="180"/>
      <c r="D22" s="180"/>
      <c r="E22" s="116"/>
    </row>
    <row r="23" spans="1:5" s="191" customFormat="1" ht="12" customHeight="1">
      <c r="A23" s="12" t="s">
        <v>76</v>
      </c>
      <c r="B23" s="193" t="s">
        <v>342</v>
      </c>
      <c r="C23" s="180"/>
      <c r="D23" s="180"/>
      <c r="E23" s="116"/>
    </row>
    <row r="24" spans="1:5" s="191" customFormat="1" ht="12" customHeight="1">
      <c r="A24" s="12" t="s">
        <v>77</v>
      </c>
      <c r="B24" s="193" t="s">
        <v>182</v>
      </c>
      <c r="C24" s="180"/>
      <c r="D24" s="180"/>
      <c r="E24" s="116"/>
    </row>
    <row r="25" spans="1:5" s="191" customFormat="1" ht="12" customHeight="1" thickBot="1">
      <c r="A25" s="14" t="s">
        <v>84</v>
      </c>
      <c r="B25" s="124" t="s">
        <v>183</v>
      </c>
      <c r="C25" s="182"/>
      <c r="D25" s="182"/>
      <c r="E25" s="118"/>
    </row>
    <row r="26" spans="1:5" s="191" customFormat="1" ht="12" customHeight="1" thickBot="1">
      <c r="A26" s="18" t="s">
        <v>11</v>
      </c>
      <c r="B26" s="19" t="s">
        <v>184</v>
      </c>
      <c r="C26" s="179">
        <f>+C27+C28+C29+C30+C31</f>
        <v>0</v>
      </c>
      <c r="D26" s="179">
        <f>+D27+D28+D29+D30+D31</f>
        <v>0</v>
      </c>
      <c r="E26" s="115">
        <f>+E27+E28+E29+E30+E31</f>
        <v>0</v>
      </c>
    </row>
    <row r="27" spans="1:5" s="191" customFormat="1" ht="12" customHeight="1">
      <c r="A27" s="13" t="s">
        <v>56</v>
      </c>
      <c r="B27" s="192" t="s">
        <v>185</v>
      </c>
      <c r="C27" s="181"/>
      <c r="D27" s="181"/>
      <c r="E27" s="117"/>
    </row>
    <row r="28" spans="1:5" s="191" customFormat="1" ht="12" customHeight="1">
      <c r="A28" s="12" t="s">
        <v>57</v>
      </c>
      <c r="B28" s="193" t="s">
        <v>186</v>
      </c>
      <c r="C28" s="180"/>
      <c r="D28" s="180"/>
      <c r="E28" s="116"/>
    </row>
    <row r="29" spans="1:5" s="191" customFormat="1" ht="12" customHeight="1">
      <c r="A29" s="12" t="s">
        <v>58</v>
      </c>
      <c r="B29" s="193" t="s">
        <v>343</v>
      </c>
      <c r="C29" s="180"/>
      <c r="D29" s="180"/>
      <c r="E29" s="116"/>
    </row>
    <row r="30" spans="1:5" s="191" customFormat="1" ht="12" customHeight="1">
      <c r="A30" s="12" t="s">
        <v>59</v>
      </c>
      <c r="B30" s="193" t="s">
        <v>344</v>
      </c>
      <c r="C30" s="180"/>
      <c r="D30" s="180"/>
      <c r="E30" s="116"/>
    </row>
    <row r="31" spans="1:5" s="191" customFormat="1" ht="12" customHeight="1">
      <c r="A31" s="12" t="s">
        <v>116</v>
      </c>
      <c r="B31" s="193" t="s">
        <v>187</v>
      </c>
      <c r="C31" s="180"/>
      <c r="D31" s="180"/>
      <c r="E31" s="116"/>
    </row>
    <row r="32" spans="1:5" s="191" customFormat="1" ht="12" customHeight="1" thickBot="1">
      <c r="A32" s="14" t="s">
        <v>117</v>
      </c>
      <c r="B32" s="194" t="s">
        <v>188</v>
      </c>
      <c r="C32" s="182"/>
      <c r="D32" s="182"/>
      <c r="E32" s="118"/>
    </row>
    <row r="33" spans="1:5" s="191" customFormat="1" ht="12" customHeight="1" thickBot="1">
      <c r="A33" s="18" t="s">
        <v>118</v>
      </c>
      <c r="B33" s="19" t="s">
        <v>497</v>
      </c>
      <c r="C33" s="185">
        <f>SUM(C34:C40)</f>
        <v>0</v>
      </c>
      <c r="D33" s="185">
        <f>SUM(D34:D40)</f>
        <v>0</v>
      </c>
      <c r="E33" s="221">
        <f>SUM(E34:E40)</f>
        <v>0</v>
      </c>
    </row>
    <row r="34" spans="1:5" s="191" customFormat="1" ht="12" customHeight="1">
      <c r="A34" s="13" t="s">
        <v>189</v>
      </c>
      <c r="B34" s="192" t="s">
        <v>498</v>
      </c>
      <c r="C34" s="181">
        <f>+C35+C36+C37</f>
        <v>0</v>
      </c>
      <c r="D34" s="181">
        <f>+D35+D36+D37</f>
        <v>0</v>
      </c>
      <c r="E34" s="117">
        <f>+E35+E36+E37</f>
        <v>0</v>
      </c>
    </row>
    <row r="35" spans="1:5" s="191" customFormat="1" ht="12" customHeight="1">
      <c r="A35" s="12" t="s">
        <v>190</v>
      </c>
      <c r="B35" s="193" t="s">
        <v>499</v>
      </c>
      <c r="C35" s="180"/>
      <c r="D35" s="180"/>
      <c r="E35" s="116"/>
    </row>
    <row r="36" spans="1:5" s="191" customFormat="1" ht="12" customHeight="1">
      <c r="A36" s="12" t="s">
        <v>191</v>
      </c>
      <c r="B36" s="193" t="s">
        <v>500</v>
      </c>
      <c r="C36" s="180"/>
      <c r="D36" s="180"/>
      <c r="E36" s="116"/>
    </row>
    <row r="37" spans="1:5" s="191" customFormat="1" ht="12" customHeight="1">
      <c r="A37" s="12" t="s">
        <v>192</v>
      </c>
      <c r="B37" s="193" t="s">
        <v>501</v>
      </c>
      <c r="C37" s="180"/>
      <c r="D37" s="180"/>
      <c r="E37" s="116"/>
    </row>
    <row r="38" spans="1:5" s="191" customFormat="1" ht="12" customHeight="1">
      <c r="A38" s="12" t="s">
        <v>502</v>
      </c>
      <c r="B38" s="193" t="s">
        <v>193</v>
      </c>
      <c r="C38" s="180"/>
      <c r="D38" s="180"/>
      <c r="E38" s="116"/>
    </row>
    <row r="39" spans="1:5" s="191" customFormat="1" ht="12" customHeight="1">
      <c r="A39" s="12" t="s">
        <v>503</v>
      </c>
      <c r="B39" s="193" t="s">
        <v>194</v>
      </c>
      <c r="C39" s="180"/>
      <c r="D39" s="180"/>
      <c r="E39" s="116"/>
    </row>
    <row r="40" spans="1:5" s="191" customFormat="1" ht="12" customHeight="1" thickBot="1">
      <c r="A40" s="14" t="s">
        <v>504</v>
      </c>
      <c r="B40" s="339" t="s">
        <v>195</v>
      </c>
      <c r="C40" s="182"/>
      <c r="D40" s="182"/>
      <c r="E40" s="118"/>
    </row>
    <row r="41" spans="1:5" s="191" customFormat="1" ht="12" customHeight="1" thickBot="1">
      <c r="A41" s="18" t="s">
        <v>13</v>
      </c>
      <c r="B41" s="19" t="s">
        <v>351</v>
      </c>
      <c r="C41" s="179">
        <f>SUM(C42:C52)</f>
        <v>0</v>
      </c>
      <c r="D41" s="179">
        <f>SUM(D42:D52)</f>
        <v>0</v>
      </c>
      <c r="E41" s="115">
        <f>SUM(E42:E52)</f>
        <v>0</v>
      </c>
    </row>
    <row r="42" spans="1:5" s="191" customFormat="1" ht="12" customHeight="1">
      <c r="A42" s="13" t="s">
        <v>60</v>
      </c>
      <c r="B42" s="192" t="s">
        <v>198</v>
      </c>
      <c r="C42" s="181"/>
      <c r="D42" s="181"/>
      <c r="E42" s="117"/>
    </row>
    <row r="43" spans="1:5" s="191" customFormat="1" ht="12" customHeight="1">
      <c r="A43" s="12" t="s">
        <v>61</v>
      </c>
      <c r="B43" s="193" t="s">
        <v>199</v>
      </c>
      <c r="C43" s="180"/>
      <c r="D43" s="180"/>
      <c r="E43" s="116"/>
    </row>
    <row r="44" spans="1:5" s="191" customFormat="1" ht="12" customHeight="1">
      <c r="A44" s="12" t="s">
        <v>62</v>
      </c>
      <c r="B44" s="193" t="s">
        <v>200</v>
      </c>
      <c r="C44" s="180"/>
      <c r="D44" s="180"/>
      <c r="E44" s="116"/>
    </row>
    <row r="45" spans="1:5" s="191" customFormat="1" ht="12" customHeight="1">
      <c r="A45" s="12" t="s">
        <v>120</v>
      </c>
      <c r="B45" s="193" t="s">
        <v>201</v>
      </c>
      <c r="C45" s="180"/>
      <c r="D45" s="180"/>
      <c r="E45" s="116"/>
    </row>
    <row r="46" spans="1:5" s="191" customFormat="1" ht="12" customHeight="1">
      <c r="A46" s="12" t="s">
        <v>121</v>
      </c>
      <c r="B46" s="193" t="s">
        <v>202</v>
      </c>
      <c r="C46" s="180"/>
      <c r="D46" s="180"/>
      <c r="E46" s="116"/>
    </row>
    <row r="47" spans="1:5" s="191" customFormat="1" ht="12" customHeight="1">
      <c r="A47" s="12" t="s">
        <v>122</v>
      </c>
      <c r="B47" s="193" t="s">
        <v>203</v>
      </c>
      <c r="C47" s="180"/>
      <c r="D47" s="180"/>
      <c r="E47" s="116"/>
    </row>
    <row r="48" spans="1:5" s="191" customFormat="1" ht="12" customHeight="1">
      <c r="A48" s="12" t="s">
        <v>123</v>
      </c>
      <c r="B48" s="193" t="s">
        <v>204</v>
      </c>
      <c r="C48" s="180"/>
      <c r="D48" s="180"/>
      <c r="E48" s="116"/>
    </row>
    <row r="49" spans="1:5" s="191" customFormat="1" ht="12" customHeight="1">
      <c r="A49" s="12" t="s">
        <v>124</v>
      </c>
      <c r="B49" s="193" t="s">
        <v>505</v>
      </c>
      <c r="C49" s="180"/>
      <c r="D49" s="180"/>
      <c r="E49" s="116"/>
    </row>
    <row r="50" spans="1:5" s="191" customFormat="1" ht="12" customHeight="1">
      <c r="A50" s="12" t="s">
        <v>196</v>
      </c>
      <c r="B50" s="193" t="s">
        <v>206</v>
      </c>
      <c r="C50" s="183"/>
      <c r="D50" s="183"/>
      <c r="E50" s="119"/>
    </row>
    <row r="51" spans="1:5" s="191" customFormat="1" ht="12" customHeight="1">
      <c r="A51" s="14" t="s">
        <v>197</v>
      </c>
      <c r="B51" s="194" t="s">
        <v>353</v>
      </c>
      <c r="C51" s="184"/>
      <c r="D51" s="184"/>
      <c r="E51" s="120"/>
    </row>
    <row r="52" spans="1:5" s="191" customFormat="1" ht="12" customHeight="1" thickBot="1">
      <c r="A52" s="14" t="s">
        <v>352</v>
      </c>
      <c r="B52" s="124" t="s">
        <v>207</v>
      </c>
      <c r="C52" s="184"/>
      <c r="D52" s="184"/>
      <c r="E52" s="120"/>
    </row>
    <row r="53" spans="1:5" s="191" customFormat="1" ht="12" customHeight="1" thickBot="1">
      <c r="A53" s="18" t="s">
        <v>14</v>
      </c>
      <c r="B53" s="19" t="s">
        <v>208</v>
      </c>
      <c r="C53" s="179">
        <f>SUM(C54:C58)</f>
        <v>0</v>
      </c>
      <c r="D53" s="179">
        <f>SUM(D54:D58)</f>
        <v>0</v>
      </c>
      <c r="E53" s="115">
        <f>SUM(E54:E58)</f>
        <v>0</v>
      </c>
    </row>
    <row r="54" spans="1:5" s="191" customFormat="1" ht="12" customHeight="1">
      <c r="A54" s="13" t="s">
        <v>63</v>
      </c>
      <c r="B54" s="192" t="s">
        <v>212</v>
      </c>
      <c r="C54" s="232"/>
      <c r="D54" s="232"/>
      <c r="E54" s="121"/>
    </row>
    <row r="55" spans="1:5" s="191" customFormat="1" ht="12" customHeight="1">
      <c r="A55" s="12" t="s">
        <v>64</v>
      </c>
      <c r="B55" s="193" t="s">
        <v>213</v>
      </c>
      <c r="C55" s="183"/>
      <c r="D55" s="183"/>
      <c r="E55" s="119"/>
    </row>
    <row r="56" spans="1:5" s="191" customFormat="1" ht="12" customHeight="1">
      <c r="A56" s="12" t="s">
        <v>209</v>
      </c>
      <c r="B56" s="193" t="s">
        <v>214</v>
      </c>
      <c r="C56" s="183"/>
      <c r="D56" s="183"/>
      <c r="E56" s="119"/>
    </row>
    <row r="57" spans="1:5" s="191" customFormat="1" ht="12" customHeight="1">
      <c r="A57" s="12" t="s">
        <v>210</v>
      </c>
      <c r="B57" s="193" t="s">
        <v>215</v>
      </c>
      <c r="C57" s="183"/>
      <c r="D57" s="183"/>
      <c r="E57" s="119"/>
    </row>
    <row r="58" spans="1:5" s="191" customFormat="1" ht="12" customHeight="1" thickBot="1">
      <c r="A58" s="14" t="s">
        <v>211</v>
      </c>
      <c r="B58" s="124" t="s">
        <v>216</v>
      </c>
      <c r="C58" s="184"/>
      <c r="D58" s="184"/>
      <c r="E58" s="120"/>
    </row>
    <row r="59" spans="1:5" s="191" customFormat="1" ht="12" customHeight="1" thickBot="1">
      <c r="A59" s="18" t="s">
        <v>125</v>
      </c>
      <c r="B59" s="19" t="s">
        <v>217</v>
      </c>
      <c r="C59" s="179">
        <f>SUM(C60:C62)</f>
        <v>0</v>
      </c>
      <c r="D59" s="179">
        <f>SUM(D60:D62)</f>
        <v>0</v>
      </c>
      <c r="E59" s="115">
        <f>SUM(E60:E62)</f>
        <v>0</v>
      </c>
    </row>
    <row r="60" spans="1:5" s="191" customFormat="1" ht="12" customHeight="1">
      <c r="A60" s="13" t="s">
        <v>65</v>
      </c>
      <c r="B60" s="192" t="s">
        <v>218</v>
      </c>
      <c r="C60" s="181"/>
      <c r="D60" s="181"/>
      <c r="E60" s="117"/>
    </row>
    <row r="61" spans="1:5" s="191" customFormat="1" ht="12" customHeight="1">
      <c r="A61" s="12" t="s">
        <v>66</v>
      </c>
      <c r="B61" s="193" t="s">
        <v>345</v>
      </c>
      <c r="C61" s="180"/>
      <c r="D61" s="180"/>
      <c r="E61" s="116"/>
    </row>
    <row r="62" spans="1:5" s="191" customFormat="1" ht="12" customHeight="1">
      <c r="A62" s="12" t="s">
        <v>221</v>
      </c>
      <c r="B62" s="193" t="s">
        <v>219</v>
      </c>
      <c r="C62" s="180"/>
      <c r="D62" s="180"/>
      <c r="E62" s="116"/>
    </row>
    <row r="63" spans="1:5" s="191" customFormat="1" ht="12" customHeight="1" thickBot="1">
      <c r="A63" s="14" t="s">
        <v>222</v>
      </c>
      <c r="B63" s="124" t="s">
        <v>220</v>
      </c>
      <c r="C63" s="182"/>
      <c r="D63" s="182"/>
      <c r="E63" s="118"/>
    </row>
    <row r="64" spans="1:5" s="191" customFormat="1" ht="12" customHeight="1" thickBot="1">
      <c r="A64" s="18" t="s">
        <v>16</v>
      </c>
      <c r="B64" s="122" t="s">
        <v>223</v>
      </c>
      <c r="C64" s="179">
        <f>SUM(C65:C67)</f>
        <v>0</v>
      </c>
      <c r="D64" s="179">
        <f>SUM(D65:D67)</f>
        <v>0</v>
      </c>
      <c r="E64" s="115">
        <f>SUM(E65:E67)</f>
        <v>0</v>
      </c>
    </row>
    <row r="65" spans="1:5" s="191" customFormat="1" ht="12" customHeight="1">
      <c r="A65" s="13" t="s">
        <v>126</v>
      </c>
      <c r="B65" s="192" t="s">
        <v>225</v>
      </c>
      <c r="C65" s="183"/>
      <c r="D65" s="183"/>
      <c r="E65" s="119"/>
    </row>
    <row r="66" spans="1:5" s="191" customFormat="1" ht="12" customHeight="1">
      <c r="A66" s="12" t="s">
        <v>127</v>
      </c>
      <c r="B66" s="193" t="s">
        <v>346</v>
      </c>
      <c r="C66" s="183"/>
      <c r="D66" s="183"/>
      <c r="E66" s="119"/>
    </row>
    <row r="67" spans="1:5" s="191" customFormat="1" ht="12" customHeight="1">
      <c r="A67" s="12" t="s">
        <v>157</v>
      </c>
      <c r="B67" s="193" t="s">
        <v>226</v>
      </c>
      <c r="C67" s="183"/>
      <c r="D67" s="183"/>
      <c r="E67" s="119"/>
    </row>
    <row r="68" spans="1:5" s="191" customFormat="1" ht="12" customHeight="1" thickBot="1">
      <c r="A68" s="14" t="s">
        <v>224</v>
      </c>
      <c r="B68" s="124" t="s">
        <v>227</v>
      </c>
      <c r="C68" s="183"/>
      <c r="D68" s="183"/>
      <c r="E68" s="119"/>
    </row>
    <row r="69" spans="1:5" s="191" customFormat="1" ht="12" customHeight="1" thickBot="1">
      <c r="A69" s="243" t="s">
        <v>393</v>
      </c>
      <c r="B69" s="19" t="s">
        <v>228</v>
      </c>
      <c r="C69" s="185">
        <f>+C11+C19+C26+C33+C41+C53+C59+C64</f>
        <v>0</v>
      </c>
      <c r="D69" s="185">
        <f>+D11+D19+D26+D33+D41+D53+D59+D64</f>
        <v>0</v>
      </c>
      <c r="E69" s="221">
        <f>+E11+E19+E26+E33+E41+E53+E59+E64</f>
        <v>0</v>
      </c>
    </row>
    <row r="70" spans="1:5" s="191" customFormat="1" ht="12" customHeight="1" thickBot="1">
      <c r="A70" s="233" t="s">
        <v>229</v>
      </c>
      <c r="B70" s="122" t="s">
        <v>230</v>
      </c>
      <c r="C70" s="179">
        <f>SUM(C71:C73)</f>
        <v>0</v>
      </c>
      <c r="D70" s="179">
        <f>SUM(D71:D73)</f>
        <v>0</v>
      </c>
      <c r="E70" s="115">
        <f>SUM(E71:E73)</f>
        <v>0</v>
      </c>
    </row>
    <row r="71" spans="1:5" s="191" customFormat="1" ht="12" customHeight="1">
      <c r="A71" s="13" t="s">
        <v>258</v>
      </c>
      <c r="B71" s="192" t="s">
        <v>231</v>
      </c>
      <c r="C71" s="183"/>
      <c r="D71" s="183"/>
      <c r="E71" s="119"/>
    </row>
    <row r="72" spans="1:5" s="191" customFormat="1" ht="12" customHeight="1">
      <c r="A72" s="12" t="s">
        <v>267</v>
      </c>
      <c r="B72" s="193" t="s">
        <v>232</v>
      </c>
      <c r="C72" s="183"/>
      <c r="D72" s="183"/>
      <c r="E72" s="119"/>
    </row>
    <row r="73" spans="1:5" s="191" customFormat="1" ht="12" customHeight="1" thickBot="1">
      <c r="A73" s="14" t="s">
        <v>268</v>
      </c>
      <c r="B73" s="239" t="s">
        <v>378</v>
      </c>
      <c r="C73" s="183"/>
      <c r="D73" s="183"/>
      <c r="E73" s="119"/>
    </row>
    <row r="74" spans="1:5" s="191" customFormat="1" ht="12" customHeight="1" thickBot="1">
      <c r="A74" s="233" t="s">
        <v>234</v>
      </c>
      <c r="B74" s="122" t="s">
        <v>235</v>
      </c>
      <c r="C74" s="179">
        <f>SUM(C75:C78)</f>
        <v>0</v>
      </c>
      <c r="D74" s="179">
        <f>SUM(D75:D78)</f>
        <v>0</v>
      </c>
      <c r="E74" s="115">
        <f>SUM(E75:E78)</f>
        <v>0</v>
      </c>
    </row>
    <row r="75" spans="1:5" s="191" customFormat="1" ht="12" customHeight="1">
      <c r="A75" s="13" t="s">
        <v>103</v>
      </c>
      <c r="B75" s="372" t="s">
        <v>236</v>
      </c>
      <c r="C75" s="183"/>
      <c r="D75" s="183"/>
      <c r="E75" s="119"/>
    </row>
    <row r="76" spans="1:5" s="191" customFormat="1" ht="12" customHeight="1">
      <c r="A76" s="12" t="s">
        <v>104</v>
      </c>
      <c r="B76" s="372" t="s">
        <v>512</v>
      </c>
      <c r="C76" s="183"/>
      <c r="D76" s="183"/>
      <c r="E76" s="119"/>
    </row>
    <row r="77" spans="1:5" s="191" customFormat="1" ht="12" customHeight="1">
      <c r="A77" s="12" t="s">
        <v>259</v>
      </c>
      <c r="B77" s="372" t="s">
        <v>237</v>
      </c>
      <c r="C77" s="183"/>
      <c r="D77" s="183"/>
      <c r="E77" s="119"/>
    </row>
    <row r="78" spans="1:5" s="191" customFormat="1" ht="12" customHeight="1" thickBot="1">
      <c r="A78" s="14" t="s">
        <v>260</v>
      </c>
      <c r="B78" s="373" t="s">
        <v>513</v>
      </c>
      <c r="C78" s="183"/>
      <c r="D78" s="183"/>
      <c r="E78" s="119"/>
    </row>
    <row r="79" spans="1:5" s="191" customFormat="1" ht="12" customHeight="1" thickBot="1">
      <c r="A79" s="233" t="s">
        <v>238</v>
      </c>
      <c r="B79" s="122" t="s">
        <v>239</v>
      </c>
      <c r="C79" s="179">
        <f>SUM(C80:C81)</f>
        <v>0</v>
      </c>
      <c r="D79" s="179">
        <f>SUM(D80:D81)</f>
        <v>0</v>
      </c>
      <c r="E79" s="115">
        <f>SUM(E80:E81)</f>
        <v>0</v>
      </c>
    </row>
    <row r="80" spans="1:5" s="191" customFormat="1" ht="12" customHeight="1">
      <c r="A80" s="13" t="s">
        <v>261</v>
      </c>
      <c r="B80" s="192" t="s">
        <v>240</v>
      </c>
      <c r="C80" s="183"/>
      <c r="D80" s="183"/>
      <c r="E80" s="119"/>
    </row>
    <row r="81" spans="1:5" s="191" customFormat="1" ht="12" customHeight="1" thickBot="1">
      <c r="A81" s="14" t="s">
        <v>262</v>
      </c>
      <c r="B81" s="124" t="s">
        <v>241</v>
      </c>
      <c r="C81" s="183"/>
      <c r="D81" s="183"/>
      <c r="E81" s="119"/>
    </row>
    <row r="82" spans="1:5" s="191" customFormat="1" ht="12" customHeight="1" thickBot="1">
      <c r="A82" s="233" t="s">
        <v>242</v>
      </c>
      <c r="B82" s="122" t="s">
        <v>243</v>
      </c>
      <c r="C82" s="179">
        <f>SUM(C83:C85)</f>
        <v>0</v>
      </c>
      <c r="D82" s="179">
        <f>SUM(D83:D85)</f>
        <v>0</v>
      </c>
      <c r="E82" s="115">
        <f>SUM(E83:E85)</f>
        <v>0</v>
      </c>
    </row>
    <row r="83" spans="1:5" s="191" customFormat="1" ht="12" customHeight="1">
      <c r="A83" s="13" t="s">
        <v>263</v>
      </c>
      <c r="B83" s="192" t="s">
        <v>244</v>
      </c>
      <c r="C83" s="183"/>
      <c r="D83" s="183"/>
      <c r="E83" s="119"/>
    </row>
    <row r="84" spans="1:5" s="191" customFormat="1" ht="12" customHeight="1">
      <c r="A84" s="12" t="s">
        <v>264</v>
      </c>
      <c r="B84" s="193" t="s">
        <v>245</v>
      </c>
      <c r="C84" s="183"/>
      <c r="D84" s="183"/>
      <c r="E84" s="119"/>
    </row>
    <row r="85" spans="1:5" s="191" customFormat="1" ht="12" customHeight="1" thickBot="1">
      <c r="A85" s="14" t="s">
        <v>265</v>
      </c>
      <c r="B85" s="124" t="s">
        <v>514</v>
      </c>
      <c r="C85" s="183"/>
      <c r="D85" s="183"/>
      <c r="E85" s="119"/>
    </row>
    <row r="86" spans="1:5" s="191" customFormat="1" ht="12" customHeight="1" thickBot="1">
      <c r="A86" s="233" t="s">
        <v>246</v>
      </c>
      <c r="B86" s="122" t="s">
        <v>266</v>
      </c>
      <c r="C86" s="179">
        <f>SUM(C87:C90)</f>
        <v>0</v>
      </c>
      <c r="D86" s="179">
        <f>SUM(D87:D90)</f>
        <v>0</v>
      </c>
      <c r="E86" s="115">
        <f>SUM(E87:E90)</f>
        <v>0</v>
      </c>
    </row>
    <row r="87" spans="1:5" s="191" customFormat="1" ht="12" customHeight="1">
      <c r="A87" s="196" t="s">
        <v>247</v>
      </c>
      <c r="B87" s="192" t="s">
        <v>248</v>
      </c>
      <c r="C87" s="183"/>
      <c r="D87" s="183"/>
      <c r="E87" s="119"/>
    </row>
    <row r="88" spans="1:5" s="191" customFormat="1" ht="12" customHeight="1">
      <c r="A88" s="197" t="s">
        <v>249</v>
      </c>
      <c r="B88" s="193" t="s">
        <v>250</v>
      </c>
      <c r="C88" s="183"/>
      <c r="D88" s="183"/>
      <c r="E88" s="119"/>
    </row>
    <row r="89" spans="1:5" s="191" customFormat="1" ht="12" customHeight="1">
      <c r="A89" s="197" t="s">
        <v>251</v>
      </c>
      <c r="B89" s="193" t="s">
        <v>252</v>
      </c>
      <c r="C89" s="183"/>
      <c r="D89" s="183"/>
      <c r="E89" s="119"/>
    </row>
    <row r="90" spans="1:5" s="191" customFormat="1" ht="12" customHeight="1" thickBot="1">
      <c r="A90" s="198" t="s">
        <v>253</v>
      </c>
      <c r="B90" s="124" t="s">
        <v>254</v>
      </c>
      <c r="C90" s="183"/>
      <c r="D90" s="183"/>
      <c r="E90" s="119"/>
    </row>
    <row r="91" spans="1:5" s="191" customFormat="1" ht="12" customHeight="1" thickBot="1">
      <c r="A91" s="233" t="s">
        <v>255</v>
      </c>
      <c r="B91" s="122" t="s">
        <v>392</v>
      </c>
      <c r="C91" s="235"/>
      <c r="D91" s="235"/>
      <c r="E91" s="236"/>
    </row>
    <row r="92" spans="1:5" s="191" customFormat="1" ht="13.5" customHeight="1" thickBot="1">
      <c r="A92" s="233" t="s">
        <v>257</v>
      </c>
      <c r="B92" s="122" t="s">
        <v>256</v>
      </c>
      <c r="C92" s="235"/>
      <c r="D92" s="235"/>
      <c r="E92" s="236"/>
    </row>
    <row r="93" spans="1:5" s="191" customFormat="1" ht="15.75" customHeight="1" thickBot="1">
      <c r="A93" s="233" t="s">
        <v>269</v>
      </c>
      <c r="B93" s="199" t="s">
        <v>395</v>
      </c>
      <c r="C93" s="185">
        <f>+C70+C74+C79+C82+C86+C92+C91</f>
        <v>0</v>
      </c>
      <c r="D93" s="185">
        <f>+D70+D74+D79+D82+D86+D92+D91</f>
        <v>0</v>
      </c>
      <c r="E93" s="221">
        <f>+E70+E74+E79+E82+E86+E92+E91</f>
        <v>0</v>
      </c>
    </row>
    <row r="94" spans="1:5" s="191" customFormat="1" ht="25.5" customHeight="1" thickBot="1">
      <c r="A94" s="234" t="s">
        <v>394</v>
      </c>
      <c r="B94" s="200" t="s">
        <v>396</v>
      </c>
      <c r="C94" s="185">
        <f>+C69+C93</f>
        <v>0</v>
      </c>
      <c r="D94" s="185">
        <f>+D69+D93</f>
        <v>0</v>
      </c>
      <c r="E94" s="221">
        <f>+E69+E93</f>
        <v>0</v>
      </c>
    </row>
    <row r="95" spans="1:3" s="191" customFormat="1" ht="15" customHeight="1">
      <c r="A95" s="3"/>
      <c r="B95" s="4"/>
      <c r="C95" s="126"/>
    </row>
    <row r="96" spans="1:5" ht="16.5" customHeight="1">
      <c r="A96" s="550" t="s">
        <v>37</v>
      </c>
      <c r="B96" s="550"/>
      <c r="C96" s="550"/>
      <c r="D96" s="550"/>
      <c r="E96" s="550"/>
    </row>
    <row r="97" spans="1:5" s="201" customFormat="1" ht="16.5" customHeight="1" thickBot="1">
      <c r="A97" s="552" t="s">
        <v>107</v>
      </c>
      <c r="B97" s="552"/>
      <c r="C97" s="57"/>
      <c r="E97" s="57" t="str">
        <f>E7</f>
        <v> Forintban!</v>
      </c>
    </row>
    <row r="98" spans="1:5" ht="15">
      <c r="A98" s="541" t="s">
        <v>55</v>
      </c>
      <c r="B98" s="543" t="s">
        <v>439</v>
      </c>
      <c r="C98" s="545" t="str">
        <f>+CONCATENATE(LEFT(IB_ÖSSZEFÜGGÉSEK!A6,4),". évi")</f>
        <v>2022. évi</v>
      </c>
      <c r="D98" s="546"/>
      <c r="E98" s="547"/>
    </row>
    <row r="99" spans="1:5" ht="23.25" thickBot="1">
      <c r="A99" s="542"/>
      <c r="B99" s="544"/>
      <c r="C99" s="260" t="s">
        <v>437</v>
      </c>
      <c r="D99" s="259" t="s">
        <v>438</v>
      </c>
      <c r="E99" s="374" t="str">
        <f>+CONCATENATE(LEFT(IB_ÖSSZEFÜGGÉSEK!A6,4),". VI. 30.",CHAR(10),"teljesítés")</f>
        <v>2022. VI. 30.
teljesítés</v>
      </c>
    </row>
    <row r="100" spans="1:5" s="190" customFormat="1" ht="12" customHeight="1" thickBot="1">
      <c r="A100" s="24" t="s">
        <v>404</v>
      </c>
      <c r="B100" s="25" t="s">
        <v>405</v>
      </c>
      <c r="C100" s="25" t="s">
        <v>406</v>
      </c>
      <c r="D100" s="25" t="s">
        <v>408</v>
      </c>
      <c r="E100" s="271" t="s">
        <v>407</v>
      </c>
    </row>
    <row r="101" spans="1:5" ht="12" customHeight="1" thickBot="1">
      <c r="A101" s="20" t="s">
        <v>9</v>
      </c>
      <c r="B101" s="23" t="s">
        <v>354</v>
      </c>
      <c r="C101" s="178">
        <f>C102+C103+C104+C105+C106+C119</f>
        <v>0</v>
      </c>
      <c r="D101" s="178">
        <f>D102+D103+D104+D105+D106+D119</f>
        <v>0</v>
      </c>
      <c r="E101" s="246">
        <f>E102+E103+E104+E105+E106+E119</f>
        <v>0</v>
      </c>
    </row>
    <row r="102" spans="1:5" ht="12" customHeight="1">
      <c r="A102" s="15" t="s">
        <v>67</v>
      </c>
      <c r="B102" s="8" t="s">
        <v>38</v>
      </c>
      <c r="C102" s="253"/>
      <c r="D102" s="253"/>
      <c r="E102" s="247"/>
    </row>
    <row r="103" spans="1:5" ht="12" customHeight="1">
      <c r="A103" s="12" t="s">
        <v>68</v>
      </c>
      <c r="B103" s="6" t="s">
        <v>128</v>
      </c>
      <c r="C103" s="180"/>
      <c r="D103" s="180"/>
      <c r="E103" s="116"/>
    </row>
    <row r="104" spans="1:5" ht="12" customHeight="1">
      <c r="A104" s="12" t="s">
        <v>69</v>
      </c>
      <c r="B104" s="6" t="s">
        <v>95</v>
      </c>
      <c r="C104" s="182"/>
      <c r="D104" s="182"/>
      <c r="E104" s="118"/>
    </row>
    <row r="105" spans="1:5" ht="12" customHeight="1">
      <c r="A105" s="12" t="s">
        <v>70</v>
      </c>
      <c r="B105" s="9" t="s">
        <v>129</v>
      </c>
      <c r="C105" s="182"/>
      <c r="D105" s="182"/>
      <c r="E105" s="118"/>
    </row>
    <row r="106" spans="1:5" ht="12" customHeight="1">
      <c r="A106" s="12" t="s">
        <v>79</v>
      </c>
      <c r="B106" s="17" t="s">
        <v>130</v>
      </c>
      <c r="C106" s="182"/>
      <c r="D106" s="182"/>
      <c r="E106" s="118"/>
    </row>
    <row r="107" spans="1:5" ht="12" customHeight="1">
      <c r="A107" s="12" t="s">
        <v>71</v>
      </c>
      <c r="B107" s="6" t="s">
        <v>359</v>
      </c>
      <c r="C107" s="182"/>
      <c r="D107" s="182"/>
      <c r="E107" s="118"/>
    </row>
    <row r="108" spans="1:5" ht="12" customHeight="1">
      <c r="A108" s="12" t="s">
        <v>72</v>
      </c>
      <c r="B108" s="61" t="s">
        <v>358</v>
      </c>
      <c r="C108" s="182"/>
      <c r="D108" s="182"/>
      <c r="E108" s="118"/>
    </row>
    <row r="109" spans="1:5" ht="12" customHeight="1">
      <c r="A109" s="12" t="s">
        <v>80</v>
      </c>
      <c r="B109" s="61" t="s">
        <v>357</v>
      </c>
      <c r="C109" s="182"/>
      <c r="D109" s="182"/>
      <c r="E109" s="118"/>
    </row>
    <row r="110" spans="1:5" ht="12" customHeight="1">
      <c r="A110" s="12" t="s">
        <v>81</v>
      </c>
      <c r="B110" s="59" t="s">
        <v>272</v>
      </c>
      <c r="C110" s="182"/>
      <c r="D110" s="182"/>
      <c r="E110" s="118"/>
    </row>
    <row r="111" spans="1:5" ht="12" customHeight="1">
      <c r="A111" s="12" t="s">
        <v>82</v>
      </c>
      <c r="B111" s="60" t="s">
        <v>273</v>
      </c>
      <c r="C111" s="182"/>
      <c r="D111" s="182"/>
      <c r="E111" s="118"/>
    </row>
    <row r="112" spans="1:5" ht="12" customHeight="1">
      <c r="A112" s="12" t="s">
        <v>83</v>
      </c>
      <c r="B112" s="60" t="s">
        <v>274</v>
      </c>
      <c r="C112" s="182"/>
      <c r="D112" s="182"/>
      <c r="E112" s="118"/>
    </row>
    <row r="113" spans="1:5" ht="12" customHeight="1">
      <c r="A113" s="12" t="s">
        <v>85</v>
      </c>
      <c r="B113" s="59" t="s">
        <v>275</v>
      </c>
      <c r="C113" s="182"/>
      <c r="D113" s="182"/>
      <c r="E113" s="118"/>
    </row>
    <row r="114" spans="1:5" ht="12" customHeight="1">
      <c r="A114" s="12" t="s">
        <v>131</v>
      </c>
      <c r="B114" s="59" t="s">
        <v>276</v>
      </c>
      <c r="C114" s="182"/>
      <c r="D114" s="182"/>
      <c r="E114" s="118"/>
    </row>
    <row r="115" spans="1:5" ht="12" customHeight="1">
      <c r="A115" s="12" t="s">
        <v>270</v>
      </c>
      <c r="B115" s="60" t="s">
        <v>277</v>
      </c>
      <c r="C115" s="182"/>
      <c r="D115" s="182"/>
      <c r="E115" s="118"/>
    </row>
    <row r="116" spans="1:5" ht="12" customHeight="1">
      <c r="A116" s="11" t="s">
        <v>271</v>
      </c>
      <c r="B116" s="61" t="s">
        <v>278</v>
      </c>
      <c r="C116" s="182"/>
      <c r="D116" s="182"/>
      <c r="E116" s="118"/>
    </row>
    <row r="117" spans="1:5" ht="12" customHeight="1">
      <c r="A117" s="12" t="s">
        <v>355</v>
      </c>
      <c r="B117" s="61" t="s">
        <v>279</v>
      </c>
      <c r="C117" s="182"/>
      <c r="D117" s="182"/>
      <c r="E117" s="118"/>
    </row>
    <row r="118" spans="1:5" ht="12" customHeight="1">
      <c r="A118" s="14" t="s">
        <v>356</v>
      </c>
      <c r="B118" s="61" t="s">
        <v>280</v>
      </c>
      <c r="C118" s="182"/>
      <c r="D118" s="182"/>
      <c r="E118" s="118"/>
    </row>
    <row r="119" spans="1:5" ht="12" customHeight="1">
      <c r="A119" s="12" t="s">
        <v>360</v>
      </c>
      <c r="B119" s="9" t="s">
        <v>39</v>
      </c>
      <c r="C119" s="180"/>
      <c r="D119" s="180"/>
      <c r="E119" s="116"/>
    </row>
    <row r="120" spans="1:5" ht="12" customHeight="1">
      <c r="A120" s="12" t="s">
        <v>361</v>
      </c>
      <c r="B120" s="6" t="s">
        <v>363</v>
      </c>
      <c r="C120" s="180"/>
      <c r="D120" s="180"/>
      <c r="E120" s="116"/>
    </row>
    <row r="121" spans="1:5" ht="12" customHeight="1" thickBot="1">
      <c r="A121" s="16" t="s">
        <v>362</v>
      </c>
      <c r="B121" s="242" t="s">
        <v>364</v>
      </c>
      <c r="C121" s="254"/>
      <c r="D121" s="254"/>
      <c r="E121" s="248"/>
    </row>
    <row r="122" spans="1:5" ht="12" customHeight="1" thickBot="1">
      <c r="A122" s="240" t="s">
        <v>10</v>
      </c>
      <c r="B122" s="241" t="s">
        <v>281</v>
      </c>
      <c r="C122" s="255">
        <f>+C123+C125+C127</f>
        <v>0</v>
      </c>
      <c r="D122" s="179">
        <f>+D123+D125+D127</f>
        <v>0</v>
      </c>
      <c r="E122" s="249">
        <f>+E123+E125+E127</f>
        <v>0</v>
      </c>
    </row>
    <row r="123" spans="1:5" ht="12" customHeight="1">
      <c r="A123" s="13" t="s">
        <v>73</v>
      </c>
      <c r="B123" s="6" t="s">
        <v>156</v>
      </c>
      <c r="C123" s="181"/>
      <c r="D123" s="264"/>
      <c r="E123" s="117"/>
    </row>
    <row r="124" spans="1:5" ht="12" customHeight="1">
      <c r="A124" s="13" t="s">
        <v>74</v>
      </c>
      <c r="B124" s="10" t="s">
        <v>285</v>
      </c>
      <c r="C124" s="181"/>
      <c r="D124" s="264"/>
      <c r="E124" s="117"/>
    </row>
    <row r="125" spans="1:5" ht="12" customHeight="1">
      <c r="A125" s="13" t="s">
        <v>75</v>
      </c>
      <c r="B125" s="10" t="s">
        <v>132</v>
      </c>
      <c r="C125" s="180"/>
      <c r="D125" s="265"/>
      <c r="E125" s="116"/>
    </row>
    <row r="126" spans="1:5" ht="12" customHeight="1">
      <c r="A126" s="13" t="s">
        <v>76</v>
      </c>
      <c r="B126" s="10" t="s">
        <v>286</v>
      </c>
      <c r="C126" s="180"/>
      <c r="D126" s="265"/>
      <c r="E126" s="116"/>
    </row>
    <row r="127" spans="1:5" ht="12" customHeight="1">
      <c r="A127" s="13" t="s">
        <v>77</v>
      </c>
      <c r="B127" s="124" t="s">
        <v>158</v>
      </c>
      <c r="C127" s="180"/>
      <c r="D127" s="265"/>
      <c r="E127" s="116"/>
    </row>
    <row r="128" spans="1:5" ht="12" customHeight="1">
      <c r="A128" s="13" t="s">
        <v>84</v>
      </c>
      <c r="B128" s="123" t="s">
        <v>347</v>
      </c>
      <c r="C128" s="180"/>
      <c r="D128" s="265"/>
      <c r="E128" s="116"/>
    </row>
    <row r="129" spans="1:5" ht="12" customHeight="1">
      <c r="A129" s="13" t="s">
        <v>86</v>
      </c>
      <c r="B129" s="188" t="s">
        <v>291</v>
      </c>
      <c r="C129" s="180"/>
      <c r="D129" s="265"/>
      <c r="E129" s="116"/>
    </row>
    <row r="130" spans="1:5" ht="15">
      <c r="A130" s="13" t="s">
        <v>133</v>
      </c>
      <c r="B130" s="60" t="s">
        <v>274</v>
      </c>
      <c r="C130" s="180"/>
      <c r="D130" s="265"/>
      <c r="E130" s="116"/>
    </row>
    <row r="131" spans="1:5" ht="12" customHeight="1">
      <c r="A131" s="13" t="s">
        <v>134</v>
      </c>
      <c r="B131" s="60" t="s">
        <v>290</v>
      </c>
      <c r="C131" s="180"/>
      <c r="D131" s="265"/>
      <c r="E131" s="116"/>
    </row>
    <row r="132" spans="1:5" ht="12" customHeight="1">
      <c r="A132" s="13" t="s">
        <v>135</v>
      </c>
      <c r="B132" s="60" t="s">
        <v>289</v>
      </c>
      <c r="C132" s="180"/>
      <c r="D132" s="265"/>
      <c r="E132" s="116"/>
    </row>
    <row r="133" spans="1:5" ht="12" customHeight="1">
      <c r="A133" s="13" t="s">
        <v>282</v>
      </c>
      <c r="B133" s="60" t="s">
        <v>277</v>
      </c>
      <c r="C133" s="180"/>
      <c r="D133" s="265"/>
      <c r="E133" s="116"/>
    </row>
    <row r="134" spans="1:5" ht="12" customHeight="1">
      <c r="A134" s="13" t="s">
        <v>283</v>
      </c>
      <c r="B134" s="60" t="s">
        <v>288</v>
      </c>
      <c r="C134" s="180"/>
      <c r="D134" s="265"/>
      <c r="E134" s="116"/>
    </row>
    <row r="135" spans="1:5" ht="15.75" thickBot="1">
      <c r="A135" s="11" t="s">
        <v>284</v>
      </c>
      <c r="B135" s="60" t="s">
        <v>287</v>
      </c>
      <c r="C135" s="182"/>
      <c r="D135" s="266"/>
      <c r="E135" s="118"/>
    </row>
    <row r="136" spans="1:5" ht="12" customHeight="1" thickBot="1">
      <c r="A136" s="18" t="s">
        <v>11</v>
      </c>
      <c r="B136" s="53" t="s">
        <v>365</v>
      </c>
      <c r="C136" s="179">
        <f>+C101+C122</f>
        <v>0</v>
      </c>
      <c r="D136" s="263">
        <f>+D101+D122</f>
        <v>0</v>
      </c>
      <c r="E136" s="115">
        <f>+E101+E122</f>
        <v>0</v>
      </c>
    </row>
    <row r="137" spans="1:5" ht="12" customHeight="1" thickBot="1">
      <c r="A137" s="18" t="s">
        <v>12</v>
      </c>
      <c r="B137" s="53" t="s">
        <v>440</v>
      </c>
      <c r="C137" s="179">
        <f>+C138+C139+C140</f>
        <v>0</v>
      </c>
      <c r="D137" s="263">
        <f>+D138+D139+D140</f>
        <v>0</v>
      </c>
      <c r="E137" s="115">
        <f>+E138+E139+E140</f>
        <v>0</v>
      </c>
    </row>
    <row r="138" spans="1:5" ht="12" customHeight="1">
      <c r="A138" s="13" t="s">
        <v>189</v>
      </c>
      <c r="B138" s="10" t="s">
        <v>373</v>
      </c>
      <c r="C138" s="180"/>
      <c r="D138" s="265"/>
      <c r="E138" s="116"/>
    </row>
    <row r="139" spans="1:5" ht="12" customHeight="1">
      <c r="A139" s="13" t="s">
        <v>190</v>
      </c>
      <c r="B139" s="10" t="s">
        <v>374</v>
      </c>
      <c r="C139" s="180"/>
      <c r="D139" s="265"/>
      <c r="E139" s="116"/>
    </row>
    <row r="140" spans="1:5" ht="12" customHeight="1" thickBot="1">
      <c r="A140" s="11" t="s">
        <v>191</v>
      </c>
      <c r="B140" s="10" t="s">
        <v>375</v>
      </c>
      <c r="C140" s="180"/>
      <c r="D140" s="265"/>
      <c r="E140" s="116"/>
    </row>
    <row r="141" spans="1:5" ht="12" customHeight="1" thickBot="1">
      <c r="A141" s="18" t="s">
        <v>13</v>
      </c>
      <c r="B141" s="53" t="s">
        <v>367</v>
      </c>
      <c r="C141" s="179">
        <f>SUM(C142:C147)</f>
        <v>0</v>
      </c>
      <c r="D141" s="263">
        <f>SUM(D142:D147)</f>
        <v>0</v>
      </c>
      <c r="E141" s="115">
        <f>SUM(E142:E147)</f>
        <v>0</v>
      </c>
    </row>
    <row r="142" spans="1:5" ht="12" customHeight="1">
      <c r="A142" s="13" t="s">
        <v>60</v>
      </c>
      <c r="B142" s="7" t="s">
        <v>376</v>
      </c>
      <c r="C142" s="180"/>
      <c r="D142" s="265"/>
      <c r="E142" s="116"/>
    </row>
    <row r="143" spans="1:5" ht="12" customHeight="1">
      <c r="A143" s="13" t="s">
        <v>61</v>
      </c>
      <c r="B143" s="7" t="s">
        <v>368</v>
      </c>
      <c r="C143" s="180"/>
      <c r="D143" s="265"/>
      <c r="E143" s="116"/>
    </row>
    <row r="144" spans="1:5" ht="12" customHeight="1">
      <c r="A144" s="13" t="s">
        <v>62</v>
      </c>
      <c r="B144" s="7" t="s">
        <v>369</v>
      </c>
      <c r="C144" s="180"/>
      <c r="D144" s="265"/>
      <c r="E144" s="116"/>
    </row>
    <row r="145" spans="1:5" ht="12" customHeight="1">
      <c r="A145" s="13" t="s">
        <v>120</v>
      </c>
      <c r="B145" s="7" t="s">
        <v>370</v>
      </c>
      <c r="C145" s="180"/>
      <c r="D145" s="265"/>
      <c r="E145" s="116"/>
    </row>
    <row r="146" spans="1:5" ht="12" customHeight="1">
      <c r="A146" s="13" t="s">
        <v>121</v>
      </c>
      <c r="B146" s="7" t="s">
        <v>371</v>
      </c>
      <c r="C146" s="180"/>
      <c r="D146" s="265"/>
      <c r="E146" s="116"/>
    </row>
    <row r="147" spans="1:5" ht="12" customHeight="1" thickBot="1">
      <c r="A147" s="16" t="s">
        <v>122</v>
      </c>
      <c r="B147" s="384" t="s">
        <v>372</v>
      </c>
      <c r="C147" s="254"/>
      <c r="D147" s="330"/>
      <c r="E147" s="248"/>
    </row>
    <row r="148" spans="1:5" ht="12" customHeight="1" thickBot="1">
      <c r="A148" s="18" t="s">
        <v>14</v>
      </c>
      <c r="B148" s="53" t="s">
        <v>380</v>
      </c>
      <c r="C148" s="185">
        <f>+C149+C150+C151+C152</f>
        <v>0</v>
      </c>
      <c r="D148" s="267">
        <f>+D149+D150+D151+D152</f>
        <v>0</v>
      </c>
      <c r="E148" s="221">
        <f>+E149+E150+E151+E152</f>
        <v>0</v>
      </c>
    </row>
    <row r="149" spans="1:5" ht="12" customHeight="1">
      <c r="A149" s="13" t="s">
        <v>63</v>
      </c>
      <c r="B149" s="7" t="s">
        <v>292</v>
      </c>
      <c r="C149" s="180"/>
      <c r="D149" s="265"/>
      <c r="E149" s="116"/>
    </row>
    <row r="150" spans="1:5" ht="12" customHeight="1">
      <c r="A150" s="13" t="s">
        <v>64</v>
      </c>
      <c r="B150" s="7" t="s">
        <v>293</v>
      </c>
      <c r="C150" s="180"/>
      <c r="D150" s="265"/>
      <c r="E150" s="116"/>
    </row>
    <row r="151" spans="1:5" ht="12" customHeight="1">
      <c r="A151" s="13" t="s">
        <v>209</v>
      </c>
      <c r="B151" s="7" t="s">
        <v>381</v>
      </c>
      <c r="C151" s="180"/>
      <c r="D151" s="265"/>
      <c r="E151" s="116"/>
    </row>
    <row r="152" spans="1:5" ht="12" customHeight="1" thickBot="1">
      <c r="A152" s="11" t="s">
        <v>210</v>
      </c>
      <c r="B152" s="5" t="s">
        <v>311</v>
      </c>
      <c r="C152" s="180"/>
      <c r="D152" s="265"/>
      <c r="E152" s="116"/>
    </row>
    <row r="153" spans="1:5" ht="12" customHeight="1" thickBot="1">
      <c r="A153" s="18" t="s">
        <v>15</v>
      </c>
      <c r="B153" s="53" t="s">
        <v>382</v>
      </c>
      <c r="C153" s="256">
        <f>SUM(C154:C158)</f>
        <v>0</v>
      </c>
      <c r="D153" s="268">
        <f>SUM(D154:D158)</f>
        <v>0</v>
      </c>
      <c r="E153" s="250">
        <f>SUM(E154:E158)</f>
        <v>0</v>
      </c>
    </row>
    <row r="154" spans="1:5" ht="12" customHeight="1">
      <c r="A154" s="13" t="s">
        <v>65</v>
      </c>
      <c r="B154" s="7" t="s">
        <v>377</v>
      </c>
      <c r="C154" s="180"/>
      <c r="D154" s="265"/>
      <c r="E154" s="116"/>
    </row>
    <row r="155" spans="1:5" ht="12" customHeight="1">
      <c r="A155" s="13" t="s">
        <v>66</v>
      </c>
      <c r="B155" s="7" t="s">
        <v>384</v>
      </c>
      <c r="C155" s="180"/>
      <c r="D155" s="265"/>
      <c r="E155" s="116"/>
    </row>
    <row r="156" spans="1:5" ht="12" customHeight="1">
      <c r="A156" s="13" t="s">
        <v>221</v>
      </c>
      <c r="B156" s="7" t="s">
        <v>379</v>
      </c>
      <c r="C156" s="180"/>
      <c r="D156" s="265"/>
      <c r="E156" s="116"/>
    </row>
    <row r="157" spans="1:5" ht="12" customHeight="1">
      <c r="A157" s="13" t="s">
        <v>222</v>
      </c>
      <c r="B157" s="7" t="s">
        <v>385</v>
      </c>
      <c r="C157" s="180"/>
      <c r="D157" s="265"/>
      <c r="E157" s="116"/>
    </row>
    <row r="158" spans="1:5" ht="12" customHeight="1" thickBot="1">
      <c r="A158" s="13" t="s">
        <v>383</v>
      </c>
      <c r="B158" s="7" t="s">
        <v>386</v>
      </c>
      <c r="C158" s="180"/>
      <c r="D158" s="265"/>
      <c r="E158" s="116"/>
    </row>
    <row r="159" spans="1:5" ht="12" customHeight="1" thickBot="1">
      <c r="A159" s="18" t="s">
        <v>16</v>
      </c>
      <c r="B159" s="53" t="s">
        <v>387</v>
      </c>
      <c r="C159" s="257"/>
      <c r="D159" s="269"/>
      <c r="E159" s="251"/>
    </row>
    <row r="160" spans="1:5" ht="12" customHeight="1" thickBot="1">
      <c r="A160" s="18" t="s">
        <v>17</v>
      </c>
      <c r="B160" s="53" t="s">
        <v>388</v>
      </c>
      <c r="C160" s="257"/>
      <c r="D160" s="269"/>
      <c r="E160" s="251"/>
    </row>
    <row r="161" spans="1:9" ht="15" customHeight="1" thickBot="1">
      <c r="A161" s="18" t="s">
        <v>18</v>
      </c>
      <c r="B161" s="53" t="s">
        <v>390</v>
      </c>
      <c r="C161" s="258">
        <f>+C137+C141+C148+C153+C159+C160</f>
        <v>0</v>
      </c>
      <c r="D161" s="270">
        <f>+D137+D141+D148+D153+D159+D160</f>
        <v>0</v>
      </c>
      <c r="E161" s="252">
        <f>+E137+E141+E148+E153+E159+E160</f>
        <v>0</v>
      </c>
      <c r="F161" s="202"/>
      <c r="G161" s="203"/>
      <c r="H161" s="203"/>
      <c r="I161" s="203"/>
    </row>
    <row r="162" spans="1:5" s="191" customFormat="1" ht="12.75" customHeight="1" thickBot="1">
      <c r="A162" s="125" t="s">
        <v>19</v>
      </c>
      <c r="B162" s="166" t="s">
        <v>389</v>
      </c>
      <c r="C162" s="258">
        <f>+C136+C161</f>
        <v>0</v>
      </c>
      <c r="D162" s="270">
        <f>+D136+D161</f>
        <v>0</v>
      </c>
      <c r="E162" s="252">
        <f>+E136+E161</f>
        <v>0</v>
      </c>
    </row>
    <row r="163" spans="3:4" ht="15">
      <c r="C163" s="446">
        <f>C94-C162</f>
        <v>0</v>
      </c>
      <c r="D163" s="446">
        <f>D94-D162</f>
        <v>0</v>
      </c>
    </row>
    <row r="164" spans="1:5" ht="15">
      <c r="A164" s="548" t="s">
        <v>294</v>
      </c>
      <c r="B164" s="548"/>
      <c r="C164" s="548"/>
      <c r="D164" s="548"/>
      <c r="E164" s="548"/>
    </row>
    <row r="165" spans="1:5" ht="15" customHeight="1" thickBot="1">
      <c r="A165" s="540" t="s">
        <v>108</v>
      </c>
      <c r="B165" s="540"/>
      <c r="C165" s="127"/>
      <c r="E165" s="127" t="str">
        <f>E97</f>
        <v> Forintban!</v>
      </c>
    </row>
    <row r="166" spans="1:5" ht="25.5" customHeight="1" thickBot="1">
      <c r="A166" s="18">
        <v>1</v>
      </c>
      <c r="B166" s="22" t="s">
        <v>391</v>
      </c>
      <c r="C166" s="262">
        <f>+C69-C136</f>
        <v>0</v>
      </c>
      <c r="D166" s="179">
        <f>+D69-D136</f>
        <v>0</v>
      </c>
      <c r="E166" s="115">
        <f>+E69-E136</f>
        <v>0</v>
      </c>
    </row>
    <row r="167" spans="1:5" ht="32.25" customHeight="1" thickBot="1">
      <c r="A167" s="18" t="s">
        <v>10</v>
      </c>
      <c r="B167" s="22" t="s">
        <v>397</v>
      </c>
      <c r="C167" s="179">
        <f>+C93-C161</f>
        <v>0</v>
      </c>
      <c r="D167" s="179">
        <f>+D93-D161</f>
        <v>0</v>
      </c>
      <c r="E167" s="115">
        <f>+E93-E161</f>
        <v>0</v>
      </c>
    </row>
  </sheetData>
  <sheetProtection/>
  <mergeCells count="16">
    <mergeCell ref="B1:E1"/>
    <mergeCell ref="A2:E2"/>
    <mergeCell ref="A3:E3"/>
    <mergeCell ref="A4:E4"/>
    <mergeCell ref="A6:E6"/>
    <mergeCell ref="A7:B7"/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A1">
      <selection activeCell="D23" sqref="D23"/>
    </sheetView>
  </sheetViews>
  <sheetFormatPr defaultColWidth="9.375" defaultRowHeight="12.75"/>
  <cols>
    <col min="1" max="1" width="6.75390625" style="32" customWidth="1"/>
    <col min="2" max="2" width="48.00390625" style="72" customWidth="1"/>
    <col min="3" max="5" width="15.50390625" style="32" customWidth="1"/>
    <col min="6" max="6" width="55.125" style="32" customWidth="1"/>
    <col min="7" max="9" width="15.50390625" style="32" customWidth="1"/>
    <col min="10" max="10" width="4.75390625" style="32" customWidth="1"/>
    <col min="11" max="16384" width="9.375" style="32" customWidth="1"/>
  </cols>
  <sheetData>
    <row r="1" spans="1:10" ht="39.75" customHeight="1">
      <c r="A1" s="409"/>
      <c r="B1" s="415" t="s">
        <v>112</v>
      </c>
      <c r="C1" s="416"/>
      <c r="D1" s="416"/>
      <c r="E1" s="416"/>
      <c r="F1" s="416"/>
      <c r="G1" s="416"/>
      <c r="H1" s="416"/>
      <c r="I1" s="416"/>
      <c r="J1" s="556" t="str">
        <f>CONCATENATE("5. melléklet ",IB_ALAPADATOK!B7," ",IB_ALAPADATOK!C7," ",IB_ALAPADATOK!D7," ",IB_ALAPADATOK!E7)</f>
        <v>5. melléklet a 2022 I. félévi költségvetési tájékoztatóhoz</v>
      </c>
    </row>
    <row r="2" spans="1:10" ht="14.25" thickBot="1">
      <c r="A2" s="409"/>
      <c r="B2" s="408"/>
      <c r="C2" s="409"/>
      <c r="D2" s="409"/>
      <c r="E2" s="409"/>
      <c r="F2" s="409"/>
      <c r="G2" s="417"/>
      <c r="H2" s="417"/>
      <c r="I2" s="417" t="str">
        <f>CONCATENATE('4.sz.mell'!E7)</f>
        <v> Forintban!</v>
      </c>
      <c r="J2" s="556"/>
    </row>
    <row r="3" spans="1:10" ht="18" customHeight="1" thickBot="1">
      <c r="A3" s="553" t="s">
        <v>55</v>
      </c>
      <c r="B3" s="418" t="s">
        <v>43</v>
      </c>
      <c r="C3" s="419"/>
      <c r="D3" s="420"/>
      <c r="E3" s="420"/>
      <c r="F3" s="418" t="s">
        <v>44</v>
      </c>
      <c r="G3" s="421"/>
      <c r="H3" s="422"/>
      <c r="I3" s="423"/>
      <c r="J3" s="556"/>
    </row>
    <row r="4" spans="1:10" s="135" customFormat="1" ht="35.25" customHeight="1" thickBot="1">
      <c r="A4" s="554"/>
      <c r="B4" s="411" t="s">
        <v>48</v>
      </c>
      <c r="C4" s="377" t="str">
        <f>+CONCATENATE('1.sz.mell.'!C8," eredeti előirányzat")</f>
        <v>2022. évi eredeti előirányzat</v>
      </c>
      <c r="D4" s="375" t="str">
        <f>+CONCATENATE('1.sz.mell.'!C8," módosított előirányzat")</f>
        <v>2022. évi módosított előirányzat</v>
      </c>
      <c r="E4" s="375" t="str">
        <f>+CONCATENATE(LEFT('1.sz.mell.'!C8,4),". VI. 30. teljesítés")</f>
        <v>2022. VI. 30. teljesítés</v>
      </c>
      <c r="F4" s="411" t="s">
        <v>48</v>
      </c>
      <c r="G4" s="377" t="str">
        <f>+C4</f>
        <v>2022. évi eredeti előirányzat</v>
      </c>
      <c r="H4" s="377" t="str">
        <f>+D4</f>
        <v>2022. évi módosított előirányzat</v>
      </c>
      <c r="I4" s="376" t="str">
        <f>+E4</f>
        <v>2022. VI. 30. teljesítés</v>
      </c>
      <c r="J4" s="556"/>
    </row>
    <row r="5" spans="1:10" s="136" customFormat="1" ht="12" customHeight="1" thickBot="1">
      <c r="A5" s="424" t="s">
        <v>404</v>
      </c>
      <c r="B5" s="425" t="s">
        <v>405</v>
      </c>
      <c r="C5" s="426" t="s">
        <v>406</v>
      </c>
      <c r="D5" s="429" t="s">
        <v>408</v>
      </c>
      <c r="E5" s="429" t="s">
        <v>407</v>
      </c>
      <c r="F5" s="425" t="s">
        <v>441</v>
      </c>
      <c r="G5" s="426" t="s">
        <v>410</v>
      </c>
      <c r="H5" s="426" t="s">
        <v>411</v>
      </c>
      <c r="I5" s="430" t="s">
        <v>442</v>
      </c>
      <c r="J5" s="556"/>
    </row>
    <row r="6" spans="1:10" ht="12.75" customHeight="1">
      <c r="A6" s="137" t="s">
        <v>9</v>
      </c>
      <c r="B6" s="138" t="s">
        <v>295</v>
      </c>
      <c r="C6" s="128">
        <v>124238073</v>
      </c>
      <c r="D6" s="128">
        <v>135925239</v>
      </c>
      <c r="E6" s="128">
        <v>83303763</v>
      </c>
      <c r="F6" s="138" t="s">
        <v>49</v>
      </c>
      <c r="G6" s="464">
        <v>216150465</v>
      </c>
      <c r="H6" s="128">
        <v>216062477</v>
      </c>
      <c r="I6" s="276">
        <v>88230774</v>
      </c>
      <c r="J6" s="556"/>
    </row>
    <row r="7" spans="1:10" ht="12.75" customHeight="1">
      <c r="A7" s="139" t="s">
        <v>10</v>
      </c>
      <c r="B7" s="140" t="s">
        <v>296</v>
      </c>
      <c r="C7" s="129">
        <v>19409000</v>
      </c>
      <c r="D7" s="129">
        <v>23607725</v>
      </c>
      <c r="E7" s="129">
        <v>15063103</v>
      </c>
      <c r="F7" s="140" t="s">
        <v>128</v>
      </c>
      <c r="G7" s="465">
        <v>31304262</v>
      </c>
      <c r="H7" s="129">
        <v>31301129</v>
      </c>
      <c r="I7" s="277">
        <v>14168514</v>
      </c>
      <c r="J7" s="556"/>
    </row>
    <row r="8" spans="1:10" ht="12.75" customHeight="1">
      <c r="A8" s="139" t="s">
        <v>11</v>
      </c>
      <c r="B8" s="140" t="s">
        <v>316</v>
      </c>
      <c r="C8" s="129"/>
      <c r="D8" s="129"/>
      <c r="E8" s="129"/>
      <c r="F8" s="140" t="s">
        <v>160</v>
      </c>
      <c r="G8" s="465">
        <v>217831160</v>
      </c>
      <c r="H8" s="129">
        <v>219321713</v>
      </c>
      <c r="I8" s="277">
        <v>80316880</v>
      </c>
      <c r="J8" s="556"/>
    </row>
    <row r="9" spans="1:10" ht="12.75" customHeight="1">
      <c r="A9" s="139" t="s">
        <v>12</v>
      </c>
      <c r="B9" s="140" t="s">
        <v>119</v>
      </c>
      <c r="C9" s="129">
        <v>181442270</v>
      </c>
      <c r="D9" s="129">
        <v>181442270</v>
      </c>
      <c r="E9" s="129">
        <v>134520011</v>
      </c>
      <c r="F9" s="140" t="s">
        <v>129</v>
      </c>
      <c r="G9" s="465">
        <v>5840000</v>
      </c>
      <c r="H9" s="129">
        <v>5840000</v>
      </c>
      <c r="I9" s="277">
        <v>1394000</v>
      </c>
      <c r="J9" s="556"/>
    </row>
    <row r="10" spans="1:10" ht="12.75" customHeight="1">
      <c r="A10" s="139" t="s">
        <v>13</v>
      </c>
      <c r="B10" s="141" t="s">
        <v>340</v>
      </c>
      <c r="C10" s="129">
        <v>40274995</v>
      </c>
      <c r="D10" s="129">
        <v>40274995</v>
      </c>
      <c r="E10" s="129">
        <v>26566218</v>
      </c>
      <c r="F10" s="140" t="s">
        <v>130</v>
      </c>
      <c r="G10" s="465">
        <v>57464904</v>
      </c>
      <c r="H10" s="129">
        <v>68297155</v>
      </c>
      <c r="I10" s="277">
        <v>41041476</v>
      </c>
      <c r="J10" s="556"/>
    </row>
    <row r="11" spans="1:10" ht="12.75" customHeight="1">
      <c r="A11" s="139" t="s">
        <v>14</v>
      </c>
      <c r="B11" s="140" t="s">
        <v>297</v>
      </c>
      <c r="C11" s="130"/>
      <c r="D11" s="130"/>
      <c r="E11" s="130"/>
      <c r="F11" s="140" t="s">
        <v>39</v>
      </c>
      <c r="G11" s="465">
        <v>8330929</v>
      </c>
      <c r="H11" s="129">
        <v>18380933</v>
      </c>
      <c r="I11" s="277">
        <v>0</v>
      </c>
      <c r="J11" s="556"/>
    </row>
    <row r="12" spans="1:10" ht="12.75" customHeight="1">
      <c r="A12" s="139" t="s">
        <v>15</v>
      </c>
      <c r="B12" s="140" t="s">
        <v>398</v>
      </c>
      <c r="C12" s="129"/>
      <c r="D12" s="129"/>
      <c r="E12" s="129"/>
      <c r="F12" s="29"/>
      <c r="G12" s="129"/>
      <c r="H12" s="129"/>
      <c r="I12" s="277"/>
      <c r="J12" s="556"/>
    </row>
    <row r="13" spans="1:10" ht="12.75" customHeight="1">
      <c r="A13" s="139" t="s">
        <v>16</v>
      </c>
      <c r="B13" s="29"/>
      <c r="C13" s="129"/>
      <c r="D13" s="129"/>
      <c r="E13" s="129"/>
      <c r="F13" s="29"/>
      <c r="G13" s="129"/>
      <c r="H13" s="129"/>
      <c r="I13" s="277"/>
      <c r="J13" s="556"/>
    </row>
    <row r="14" spans="1:10" ht="12.75" customHeight="1">
      <c r="A14" s="139" t="s">
        <v>17</v>
      </c>
      <c r="B14" s="204"/>
      <c r="C14" s="130"/>
      <c r="D14" s="130"/>
      <c r="E14" s="130"/>
      <c r="F14" s="29"/>
      <c r="G14" s="129"/>
      <c r="H14" s="129"/>
      <c r="I14" s="277"/>
      <c r="J14" s="556"/>
    </row>
    <row r="15" spans="1:10" ht="12.75" customHeight="1">
      <c r="A15" s="139" t="s">
        <v>18</v>
      </c>
      <c r="B15" s="29"/>
      <c r="C15" s="129"/>
      <c r="D15" s="129"/>
      <c r="E15" s="129"/>
      <c r="F15" s="29"/>
      <c r="G15" s="129"/>
      <c r="H15" s="129"/>
      <c r="I15" s="277"/>
      <c r="J15" s="556"/>
    </row>
    <row r="16" spans="1:10" ht="12.75" customHeight="1">
      <c r="A16" s="139" t="s">
        <v>19</v>
      </c>
      <c r="B16" s="29"/>
      <c r="C16" s="129"/>
      <c r="D16" s="129"/>
      <c r="E16" s="129"/>
      <c r="F16" s="29"/>
      <c r="G16" s="129"/>
      <c r="H16" s="129"/>
      <c r="I16" s="277"/>
      <c r="J16" s="556"/>
    </row>
    <row r="17" spans="1:10" ht="12.75" customHeight="1" thickBot="1">
      <c r="A17" s="139" t="s">
        <v>20</v>
      </c>
      <c r="B17" s="34"/>
      <c r="C17" s="131"/>
      <c r="D17" s="131"/>
      <c r="E17" s="131"/>
      <c r="F17" s="29"/>
      <c r="G17" s="131"/>
      <c r="H17" s="131"/>
      <c r="I17" s="278"/>
      <c r="J17" s="556"/>
    </row>
    <row r="18" spans="1:10" ht="13.5" thickBot="1">
      <c r="A18" s="142" t="s">
        <v>21</v>
      </c>
      <c r="B18" s="54" t="s">
        <v>399</v>
      </c>
      <c r="C18" s="132">
        <f>C6+C7+C9+C10+C11+C13+C14+C15+C16+C17</f>
        <v>365364338</v>
      </c>
      <c r="D18" s="132">
        <f>D6+D7+D9+D10+D11+D13+D14+D15+D16+D17</f>
        <v>381250229</v>
      </c>
      <c r="E18" s="132">
        <f>E6+E7+E9+E10+E11+E13+E14+E15+E16+E17</f>
        <v>259453095</v>
      </c>
      <c r="F18" s="54" t="s">
        <v>302</v>
      </c>
      <c r="G18" s="132">
        <f>SUM(G6:G17)</f>
        <v>536921720</v>
      </c>
      <c r="H18" s="132">
        <f>SUM(H6:H17)</f>
        <v>559203407</v>
      </c>
      <c r="I18" s="160">
        <f>SUM(I6:I17)</f>
        <v>225151644</v>
      </c>
      <c r="J18" s="556"/>
    </row>
    <row r="19" spans="1:10" ht="12.75" customHeight="1">
      <c r="A19" s="143" t="s">
        <v>22</v>
      </c>
      <c r="B19" s="144" t="s">
        <v>299</v>
      </c>
      <c r="C19" s="244">
        <f>+C20+C21+C22+C23</f>
        <v>231951887</v>
      </c>
      <c r="D19" s="244">
        <f>+D20+D21+D22+D23</f>
        <v>258762763</v>
      </c>
      <c r="E19" s="244">
        <f>+E20+E21+E22+E23</f>
        <v>258762763</v>
      </c>
      <c r="F19" s="145" t="s">
        <v>136</v>
      </c>
      <c r="G19" s="133"/>
      <c r="H19" s="133"/>
      <c r="I19" s="279"/>
      <c r="J19" s="556"/>
    </row>
    <row r="20" spans="1:10" ht="12.75" customHeight="1">
      <c r="A20" s="146" t="s">
        <v>23</v>
      </c>
      <c r="B20" s="145" t="s">
        <v>154</v>
      </c>
      <c r="C20" s="43">
        <v>231951887</v>
      </c>
      <c r="D20" s="43">
        <v>258762763</v>
      </c>
      <c r="E20" s="43">
        <v>258762763</v>
      </c>
      <c r="F20" s="145" t="s">
        <v>301</v>
      </c>
      <c r="G20" s="43"/>
      <c r="H20" s="43"/>
      <c r="I20" s="280"/>
      <c r="J20" s="556"/>
    </row>
    <row r="21" spans="1:10" ht="12.75" customHeight="1">
      <c r="A21" s="146" t="s">
        <v>24</v>
      </c>
      <c r="B21" s="145" t="s">
        <v>155</v>
      </c>
      <c r="C21" s="43"/>
      <c r="D21" s="43"/>
      <c r="E21" s="43"/>
      <c r="F21" s="145" t="s">
        <v>110</v>
      </c>
      <c r="G21" s="43"/>
      <c r="H21" s="43"/>
      <c r="I21" s="280"/>
      <c r="J21" s="556"/>
    </row>
    <row r="22" spans="1:10" ht="12.75" customHeight="1">
      <c r="A22" s="146" t="s">
        <v>25</v>
      </c>
      <c r="B22" s="145" t="s">
        <v>159</v>
      </c>
      <c r="C22" s="43"/>
      <c r="D22" s="43"/>
      <c r="E22" s="43"/>
      <c r="F22" s="145" t="s">
        <v>111</v>
      </c>
      <c r="G22" s="43"/>
      <c r="H22" s="43"/>
      <c r="I22" s="280"/>
      <c r="J22" s="556"/>
    </row>
    <row r="23" spans="1:10" ht="12.75" customHeight="1">
      <c r="A23" s="146" t="s">
        <v>26</v>
      </c>
      <c r="B23" s="151" t="s">
        <v>165</v>
      </c>
      <c r="C23" s="43"/>
      <c r="D23" s="43"/>
      <c r="E23" s="43"/>
      <c r="F23" s="144" t="s">
        <v>161</v>
      </c>
      <c r="G23" s="43"/>
      <c r="H23" s="43"/>
      <c r="I23" s="280"/>
      <c r="J23" s="556"/>
    </row>
    <row r="24" spans="1:10" ht="12.75" customHeight="1">
      <c r="A24" s="146" t="s">
        <v>27</v>
      </c>
      <c r="B24" s="145" t="s">
        <v>300</v>
      </c>
      <c r="C24" s="147">
        <f>+C25+C26</f>
        <v>0</v>
      </c>
      <c r="D24" s="147">
        <f>+D25+D26</f>
        <v>0</v>
      </c>
      <c r="E24" s="147">
        <f>+E25+E26</f>
        <v>0</v>
      </c>
      <c r="F24" s="145" t="s">
        <v>137</v>
      </c>
      <c r="G24" s="43"/>
      <c r="H24" s="43"/>
      <c r="I24" s="280"/>
      <c r="J24" s="556"/>
    </row>
    <row r="25" spans="1:10" ht="12.75" customHeight="1">
      <c r="A25" s="143" t="s">
        <v>28</v>
      </c>
      <c r="B25" s="144" t="s">
        <v>298</v>
      </c>
      <c r="C25" s="133"/>
      <c r="D25" s="133"/>
      <c r="E25" s="133"/>
      <c r="F25" s="138" t="s">
        <v>381</v>
      </c>
      <c r="G25" s="133"/>
      <c r="H25" s="133"/>
      <c r="I25" s="279"/>
      <c r="J25" s="556"/>
    </row>
    <row r="26" spans="1:10" ht="12.75" customHeight="1">
      <c r="A26" s="146" t="s">
        <v>29</v>
      </c>
      <c r="B26" s="145" t="s">
        <v>538</v>
      </c>
      <c r="C26" s="43"/>
      <c r="D26" s="43"/>
      <c r="E26" s="43"/>
      <c r="F26" s="140" t="s">
        <v>387</v>
      </c>
      <c r="G26" s="43"/>
      <c r="H26" s="43"/>
      <c r="I26" s="280"/>
      <c r="J26" s="556"/>
    </row>
    <row r="27" spans="1:10" ht="12.75" customHeight="1">
      <c r="A27" s="139" t="s">
        <v>30</v>
      </c>
      <c r="B27" s="145" t="s">
        <v>392</v>
      </c>
      <c r="C27" s="43"/>
      <c r="D27" s="43"/>
      <c r="E27" s="43"/>
      <c r="F27" s="140" t="s">
        <v>388</v>
      </c>
      <c r="G27" s="43"/>
      <c r="H27" s="43"/>
      <c r="I27" s="280"/>
      <c r="J27" s="556"/>
    </row>
    <row r="28" spans="1:10" ht="12.75" customHeight="1" thickBot="1">
      <c r="A28" s="175" t="s">
        <v>31</v>
      </c>
      <c r="B28" s="144" t="s">
        <v>623</v>
      </c>
      <c r="C28" s="133"/>
      <c r="D28" s="133">
        <v>2112805</v>
      </c>
      <c r="E28" s="133">
        <v>2112805</v>
      </c>
      <c r="F28" s="206" t="s">
        <v>293</v>
      </c>
      <c r="G28" s="466">
        <v>4440354</v>
      </c>
      <c r="H28" s="133">
        <v>6553159</v>
      </c>
      <c r="I28" s="279">
        <v>6553159</v>
      </c>
      <c r="J28" s="556"/>
    </row>
    <row r="29" spans="1:10" ht="24" customHeight="1" thickBot="1">
      <c r="A29" s="142" t="s">
        <v>32</v>
      </c>
      <c r="B29" s="54" t="s">
        <v>400</v>
      </c>
      <c r="C29" s="132">
        <f>+C19+C24+C27+C28</f>
        <v>231951887</v>
      </c>
      <c r="D29" s="132">
        <f>+D19+D24+D27+D28</f>
        <v>260875568</v>
      </c>
      <c r="E29" s="274">
        <f>+E19+E24+E27+E28</f>
        <v>260875568</v>
      </c>
      <c r="F29" s="54" t="s">
        <v>402</v>
      </c>
      <c r="G29" s="132">
        <f>SUM(G19:G28)</f>
        <v>4440354</v>
      </c>
      <c r="H29" s="132">
        <f>SUM(H19:H28)</f>
        <v>6553159</v>
      </c>
      <c r="I29" s="160">
        <f>SUM(I19:I28)</f>
        <v>6553159</v>
      </c>
      <c r="J29" s="556"/>
    </row>
    <row r="30" spans="1:10" ht="13.5" thickBot="1">
      <c r="A30" s="142" t="s">
        <v>33</v>
      </c>
      <c r="B30" s="148" t="s">
        <v>401</v>
      </c>
      <c r="C30" s="345">
        <f>+C18+C29</f>
        <v>597316225</v>
      </c>
      <c r="D30" s="345">
        <f>+D18+D29</f>
        <v>642125797</v>
      </c>
      <c r="E30" s="346">
        <f>+E18+E29</f>
        <v>520328663</v>
      </c>
      <c r="F30" s="148" t="s">
        <v>403</v>
      </c>
      <c r="G30" s="345">
        <f>+G18+G29</f>
        <v>541362074</v>
      </c>
      <c r="H30" s="345">
        <f>+H18+H29</f>
        <v>565756566</v>
      </c>
      <c r="I30" s="346">
        <f>+I18+I29</f>
        <v>231704803</v>
      </c>
      <c r="J30" s="556"/>
    </row>
    <row r="31" spans="1:10" ht="13.5" thickBot="1">
      <c r="A31" s="142" t="s">
        <v>34</v>
      </c>
      <c r="B31" s="148" t="s">
        <v>114</v>
      </c>
      <c r="C31" s="345">
        <f>IF(C18-G18&lt;0,G18-C18,"-")</f>
        <v>171557382</v>
      </c>
      <c r="D31" s="345">
        <f>IF(D18-H18&lt;0,H18-D18,"-")</f>
        <v>177953178</v>
      </c>
      <c r="E31" s="346" t="str">
        <f>IF(E18-I18&lt;0,I18-E18,"-")</f>
        <v>-</v>
      </c>
      <c r="F31" s="148" t="s">
        <v>115</v>
      </c>
      <c r="G31" s="345" t="str">
        <f>IF(C18-G18&gt;0,C18-G18,"-")</f>
        <v>-</v>
      </c>
      <c r="H31" s="345" t="str">
        <f>IF(D18-H18&gt;0,D18-H18,"-")</f>
        <v>-</v>
      </c>
      <c r="I31" s="346">
        <f>IF(E18-I18&gt;0,E18-I18,"-")</f>
        <v>34301451</v>
      </c>
      <c r="J31" s="556"/>
    </row>
    <row r="32" spans="1:10" ht="13.5" thickBot="1">
      <c r="A32" s="142" t="s">
        <v>35</v>
      </c>
      <c r="B32" s="148" t="s">
        <v>510</v>
      </c>
      <c r="C32" s="345" t="str">
        <f>IF(C30-G30&lt;0,G30-C30,"-")</f>
        <v>-</v>
      </c>
      <c r="D32" s="345" t="str">
        <f>IF(D30-H30&lt;0,H30-D30,"-")</f>
        <v>-</v>
      </c>
      <c r="E32" s="345" t="str">
        <f>IF(E30-I30&lt;0,I30-E30,"-")</f>
        <v>-</v>
      </c>
      <c r="F32" s="148" t="s">
        <v>511</v>
      </c>
      <c r="G32" s="345">
        <f>IF(C30-G30&gt;0,C30-G30,"-")</f>
        <v>55954151</v>
      </c>
      <c r="H32" s="345">
        <f>IF(D30-H30&gt;0,D30-H30,"-")</f>
        <v>76369231</v>
      </c>
      <c r="I32" s="345">
        <f>IF(E30-I30&gt;0,E30-I30,"-")</f>
        <v>288623860</v>
      </c>
      <c r="J32" s="556"/>
    </row>
    <row r="33" spans="2:10" ht="17.25">
      <c r="B33" s="555"/>
      <c r="C33" s="555"/>
      <c r="D33" s="555"/>
      <c r="E33" s="555"/>
      <c r="F33" s="555"/>
      <c r="J33" s="556"/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Baumann-Soós Adrienn</cp:lastModifiedBy>
  <cp:lastPrinted>2022-09-12T09:26:14Z</cp:lastPrinted>
  <dcterms:created xsi:type="dcterms:W3CDTF">1999-10-30T10:30:45Z</dcterms:created>
  <dcterms:modified xsi:type="dcterms:W3CDTF">2022-09-12T13:42:50Z</dcterms:modified>
  <cp:category/>
  <cp:version/>
  <cp:contentType/>
  <cp:contentStatus/>
</cp:coreProperties>
</file>