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15" activeTab="25"/>
  </bookViews>
  <sheets>
    <sheet name="RM_TARTALOMJEGYZÉK" sheetId="1" r:id="rId1"/>
    <sheet name="RM_ALAPADATOK" sheetId="2" r:id="rId2"/>
    <sheet name="RM_ÖSSZEFÜGGÉSEK" sheetId="3" r:id="rId3"/>
    <sheet name="1.sz.mell." sheetId="4" r:id="rId4"/>
    <sheet name="2.sz.mell" sheetId="5" r:id="rId5"/>
    <sheet name="3.sz.mell." sheetId="6" r:id="rId6"/>
    <sheet name="4.sz.mell." sheetId="7" r:id="rId7"/>
    <sheet name="5.sz.mell." sheetId="8" r:id="rId8"/>
    <sheet name="6.sz.mell." sheetId="9" r:id="rId9"/>
    <sheet name="RM_ELLENŐRZÉS" sheetId="10" r:id="rId10"/>
    <sheet name="7.sz.mell." sheetId="11" r:id="rId11"/>
    <sheet name="8.sz.mell." sheetId="12" r:id="rId12"/>
    <sheet name="9.sz.mell" sheetId="13" r:id="rId13"/>
    <sheet name="10.sz.mell" sheetId="14" r:id="rId14"/>
    <sheet name="11.sz.mell" sheetId="15" r:id="rId15"/>
    <sheet name="12.sz.mell" sheetId="16" r:id="rId16"/>
    <sheet name="13.sz.mell" sheetId="17" r:id="rId17"/>
    <sheet name="14.sz.mell" sheetId="18" r:id="rId18"/>
    <sheet name="15.sz.mell" sheetId="19" r:id="rId19"/>
    <sheet name="16.sz.mell" sheetId="20" r:id="rId20"/>
    <sheet name="17.sz.mell" sheetId="21" r:id="rId21"/>
    <sheet name="18.sz.mell" sheetId="22" r:id="rId22"/>
    <sheet name="19.sz.mell" sheetId="23" r:id="rId23"/>
    <sheet name="20.sz.mell" sheetId="24" r:id="rId24"/>
    <sheet name="21.sz.mell" sheetId="25" r:id="rId25"/>
    <sheet name="22.sz.mell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'10.sz.mell'!$1:$6</definedName>
    <definedName name="_xlnm.Print_Titles" localSheetId="14">'11.sz.mell'!$1:$6</definedName>
    <definedName name="_xlnm.Print_Titles" localSheetId="15">'12.sz.mell'!$1:$6</definedName>
    <definedName name="_xlnm.Print_Titles" localSheetId="16">'13.sz.mell'!$1:$7</definedName>
    <definedName name="_xlnm.Print_Titles" localSheetId="17">'14.sz.mell'!$1:$7</definedName>
    <definedName name="_xlnm.Print_Titles" localSheetId="18">'15.sz.mell'!$1:$7</definedName>
    <definedName name="_xlnm.Print_Titles" localSheetId="19">'16.sz.mell'!$1:$7</definedName>
    <definedName name="_xlnm.Print_Titles" localSheetId="20">'17.sz.mell'!$1:$7</definedName>
    <definedName name="_xlnm.Print_Titles" localSheetId="21">'18.sz.mell'!$1:$7</definedName>
    <definedName name="_xlnm.Print_Titles" localSheetId="22">'19.sz.mell'!$1:$7</definedName>
    <definedName name="_xlnm.Print_Titles" localSheetId="23">'20.sz.mell'!$1:$7</definedName>
    <definedName name="_xlnm.Print_Titles" localSheetId="12">'9.sz.mell'!$1:$6</definedName>
    <definedName name="_xlnm.Print_Area" localSheetId="3">'1.sz.mell.'!$A$1:$K$168</definedName>
    <definedName name="_xlnm.Print_Area" localSheetId="4">'2.sz.mell'!$A$1:$K$168</definedName>
    <definedName name="_xlnm.Print_Area" localSheetId="5">'3.sz.mell.'!$A$1:$K$168</definedName>
    <definedName name="_xlnm.Print_Area" localSheetId="6">'4.sz.mell.'!$A$1:$K$168</definedName>
  </definedNames>
  <calcPr fullCalcOnLoad="1"/>
</workbook>
</file>

<file path=xl/sharedStrings.xml><?xml version="1.0" encoding="utf-8"?>
<sst xmlns="http://schemas.openxmlformats.org/spreadsheetml/2006/main" count="4046" uniqueCount="636">
  <si>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</si>
  <si>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</si>
  <si>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</si>
  <si>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</si>
  <si>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</si>
  <si>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</si>
  <si>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</si>
  <si>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</si>
  <si>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</si>
  <si>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</si>
  <si>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</si>
  <si>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</si>
  <si>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</si>
  <si>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</si>
  <si>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</si>
  <si>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</si>
  <si>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</si>
  <si>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</si>
  <si>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</si>
  <si>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</si>
  <si>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</si>
  <si>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</si>
  <si>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</si>
  <si>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</si>
  <si>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</si>
  <si>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</si>
  <si>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</si>
  <si>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</si>
  <si>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</si>
  <si>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</si>
  <si>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</si>
  <si>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</si>
  <si>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</si>
  <si>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</si>
  <si>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</si>
  <si>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</si>
  <si>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</si>
  <si>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</si>
  <si>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</si>
  <si>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</si>
  <si>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</si>
  <si>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</si>
  <si>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</si>
  <si>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</si>
  <si>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</si>
  <si>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</si>
  <si>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</si>
  <si>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</si>
  <si>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</si>
  <si>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</si>
  <si>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</si>
  <si>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</si>
  <si>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</si>
  <si>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</si>
  <si>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</si>
  <si>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</si>
  <si>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</si>
  <si>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</si>
  <si>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</si>
  <si>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</si>
  <si>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</si>
  <si>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</si>
  <si>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</si>
  <si>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</si>
  <si>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</si>
  <si>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</si>
  <si>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</si>
  <si>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</si>
  <si>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</si>
  <si>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</si>
  <si>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</si>
  <si>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</si>
  <si>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</si>
  <si>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</si>
  <si>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</si>
  <si>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</si>
  <si>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</si>
  <si>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</si>
  <si>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</si>
  <si>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</si>
  <si>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</si>
  <si>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</si>
  <si>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</si>
  <si>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</si>
  <si>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</si>
  <si>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</si>
  <si>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</si>
  <si>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</si>
  <si>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</si>
  <si>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</si>
  <si>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</si>
  <si>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</si>
  <si>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</si>
  <si>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</si>
  <si>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</si>
  <si>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</si>
  <si>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</si>
  <si>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</si>
  <si>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</si>
  <si>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</si>
  <si>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</si>
  <si>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</si>
  <si>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</si>
  <si>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</si>
  <si>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</si>
  <si>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</si>
  <si>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</si>
  <si>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</si>
  <si>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</si>
  <si>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</si>
  <si>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</si>
  <si>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</si>
  <si>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</si>
  <si>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</si>
  <si>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</si>
  <si>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</si>
  <si>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</si>
  <si>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</si>
  <si>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</si>
  <si>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</si>
  <si>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</si>
  <si>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</si>
  <si>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</si>
  <si>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</si>
  <si>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</si>
  <si>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</si>
  <si>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</si>
  <si>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</si>
  <si>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</si>
  <si>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</si>
  <si>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</si>
  <si>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</si>
  <si>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</si>
  <si>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</si>
  <si>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</si>
  <si>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</si>
  <si>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</si>
  <si>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</si>
  <si>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</si>
  <si>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</si>
  <si>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</si>
  <si>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</si>
  <si>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</si>
  <si>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</si>
  <si>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</si>
  <si>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</si>
  <si>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</si>
  <si>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</si>
  <si>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</si>
  <si>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</si>
  <si>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</si>
  <si>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</si>
  <si>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</si>
  <si>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</si>
  <si>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</si>
  <si>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</si>
  <si>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</si>
  <si>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</si>
  <si>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</si>
  <si>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</si>
  <si>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</si>
  <si>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</si>
  <si>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</si>
  <si>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</si>
  <si>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</si>
  <si>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</si>
  <si>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</si>
  <si>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</si>
  <si>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</si>
  <si>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</si>
  <si>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</si>
  <si>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</si>
  <si>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</si>
  <si>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</si>
  <si>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</si>
  <si>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</si>
  <si>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</si>
  <si>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</si>
  <si>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</si>
  <si>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</si>
  <si>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</si>
  <si>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</si>
  <si>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</si>
  <si>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</si>
  <si>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</si>
  <si>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</si>
  <si>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</si>
  <si>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</si>
  <si>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</si>
  <si>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</si>
  <si>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</si>
  <si>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</si>
  <si>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</si>
  <si>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</si>
  <si>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</si>
  <si>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</si>
  <si>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</si>
  <si>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</si>
  <si>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</si>
  <si>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</si>
  <si>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</si>
  <si>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</si>
  <si>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</si>
  <si>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</si>
  <si>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</si>
  <si>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</si>
  <si>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</si>
  <si>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</si>
  <si>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</si>
  <si>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</si>
  <si>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</si>
  <si>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</si>
  <si>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</si>
  <si>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</si>
  <si>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</si>
  <si>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</si>
  <si>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</si>
  <si>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</si>
  <si>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</si>
  <si>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</si>
  <si>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</si>
  <si>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</si>
  <si>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</si>
  <si>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</si>
  <si>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</si>
  <si>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</si>
  <si>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</si>
  <si>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</si>
  <si>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</si>
  <si>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</si>
  <si>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</si>
  <si>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</si>
  <si>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</si>
  <si>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</si>
  <si>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</si>
  <si>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</si>
  <si>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</si>
  <si>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</si>
  <si>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</si>
  <si>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</si>
  <si>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</si>
  <si>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</si>
  <si>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</si>
  <si>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</si>
  <si>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</si>
  <si>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</si>
  <si>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</si>
  <si>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</si>
  <si>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</si>
  <si>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</si>
  <si>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</si>
  <si>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</si>
  <si>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</si>
  <si>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</si>
  <si>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</si>
  <si>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</si>
  <si>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</si>
  <si>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</si>
  <si>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</si>
  <si>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</si>
  <si>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</si>
  <si>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</si>
  <si>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</si>
  <si>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</si>
  <si>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</si>
  <si>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</si>
  <si>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</si>
  <si>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</si>
  <si>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</si>
  <si>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</si>
  <si>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</si>
  <si>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</si>
  <si>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</si>
  <si>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</si>
  <si>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</si>
  <si>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</si>
  <si>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</si>
  <si>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</si>
  <si>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</si>
  <si>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</si>
  <si>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</si>
  <si>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</si>
  <si>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</si>
  <si>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</si>
  <si>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</si>
  <si>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</si>
  <si>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</si>
  <si>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</si>
  <si>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</si>
  <si>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</si>
  <si>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</si>
  <si>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</si>
  <si>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</si>
  <si>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</si>
  <si>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</si>
  <si>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</si>
  <si>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</si>
  <si>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</si>
  <si>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</si>
  <si>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</si>
  <si>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</si>
  <si>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</si>
  <si>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</si>
  <si>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</si>
  <si>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</si>
  <si>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</si>
  <si>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</si>
  <si>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</si>
  <si>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</si>
  <si>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</si>
  <si>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</si>
  <si>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</si>
  <si>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</si>
  <si>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</si>
  <si>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</si>
  <si>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</si>
  <si>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</si>
  <si>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</si>
  <si>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</si>
  <si>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</si>
  <si>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</si>
  <si>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</si>
  <si>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</si>
  <si>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</si>
  <si>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</si>
  <si>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</si>
  <si>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</si>
  <si>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</si>
  <si>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</si>
  <si>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</si>
  <si>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</si>
  <si>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</si>
  <si>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</si>
  <si>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</si>
  <si>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</si>
  <si>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</si>
  <si>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</si>
  <si>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</si>
  <si>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</si>
  <si>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</si>
  <si>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</si>
  <si>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</si>
  <si>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</si>
  <si>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</si>
  <si>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</si>
  <si>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</si>
  <si>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</si>
  <si>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</si>
  <si>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</si>
  <si>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</si>
  <si>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</si>
  <si>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</si>
  <si>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</si>
  <si>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</si>
  <si>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</si>
  <si>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</si>
  <si>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</si>
  <si>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</si>
  <si>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</si>
  <si>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</si>
  <si>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</si>
  <si>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</si>
  <si>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</si>
  <si>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</si>
  <si>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</si>
  <si>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</si>
  <si>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</si>
  <si>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</si>
  <si>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</si>
  <si>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</si>
  <si>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</si>
  <si>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</si>
  <si>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</si>
  <si>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</si>
  <si>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</si>
  <si>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</si>
  <si>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</si>
  <si>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</si>
  <si>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</si>
  <si>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</si>
  <si>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</si>
  <si>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</si>
  <si>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</si>
  <si>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</si>
  <si>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</si>
  <si>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</si>
  <si>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</si>
  <si>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</si>
  <si>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</si>
  <si>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</si>
  <si>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</si>
  <si>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</si>
  <si>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</si>
  <si>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</si>
  <si>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</si>
  <si>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</si>
  <si>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</si>
  <si>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</si>
  <si>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</si>
  <si>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</si>
  <si>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</si>
  <si>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</si>
  <si>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</si>
  <si>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</si>
  <si>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</si>
  <si>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</si>
  <si>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</si>
  <si>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</si>
  <si>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</si>
  <si>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</si>
  <si>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</si>
  <si>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</si>
  <si>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</si>
  <si>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</si>
  <si>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</si>
  <si>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</si>
  <si>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</si>
  <si>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</si>
  <si>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</si>
  <si>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</si>
  <si>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</si>
  <si>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</si>
  <si>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</si>
  <si>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</si>
  <si>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</si>
  <si>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</si>
  <si>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</si>
  <si>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</si>
  <si>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</si>
  <si>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</si>
  <si>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</si>
  <si>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</si>
  <si>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</si>
  <si>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</si>
  <si>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</si>
  <si>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</si>
  <si>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</si>
  <si>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</si>
  <si>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</si>
  <si>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</si>
  <si>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</si>
  <si>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</si>
  <si>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</si>
  <si>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</si>
  <si>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</si>
  <si>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</si>
  <si>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</si>
  <si>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</si>
  <si>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</si>
  <si>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</si>
  <si>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</si>
  <si>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</si>
  <si>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</si>
  <si>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</si>
  <si>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</si>
  <si>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</si>
  <si>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</si>
  <si>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</si>
  <si>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</si>
  <si>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</si>
  <si>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</si>
  <si>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</si>
  <si>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</si>
  <si>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</si>
  <si>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</si>
  <si>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</si>
  <si>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</si>
  <si>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</si>
  <si>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</si>
  <si>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</si>
  <si>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</si>
  <si>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</si>
  <si>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</si>
  <si>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</si>
  <si>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</si>
  <si>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</si>
  <si>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</si>
  <si>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</si>
  <si>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</si>
  <si>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</si>
  <si>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</si>
  <si>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</si>
  <si>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</si>
  <si>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</si>
  <si>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</si>
  <si>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</si>
  <si>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</si>
  <si>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</si>
  <si>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</si>
  <si>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</si>
  <si>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</si>
  <si>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</si>
  <si>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</si>
  <si>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</si>
  <si>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</si>
  <si>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</si>
  <si>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</si>
  <si>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</si>
  <si>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</si>
  <si>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</si>
  <si>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</si>
  <si>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</si>
  <si>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</si>
  <si>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</si>
  <si>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</si>
  <si>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</si>
  <si>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</si>
  <si>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</si>
  <si>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</si>
  <si>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</si>
  <si>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Táblázatok adatainak összefüggései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</si>
  <si>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</si>
  <si>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</si>
  <si>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</si>
  <si>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</si>
  <si>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</si>
  <si>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</si>
  <si>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</si>
  <si>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</si>
  <si>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</si>
  <si>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</si>
  <si>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</si>
  <si>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</si>
  <si>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</si>
  <si>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</si>
  <si>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</si>
  <si>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</si>
  <si>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</si>
  <si>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</si>
  <si>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</si>
  <si>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</si>
  <si>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</si>
  <si>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</si>
  <si>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</si>
  <si>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</si>
  <si>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</si>
  <si>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</si>
  <si>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</si>
  <si>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</si>
  <si>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</si>
  <si>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</si>
  <si>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</si>
  <si>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</si>
  <si>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</si>
  <si>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</si>
  <si>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A 2023. évi általános működési és ágazati feladatok támogatásának alakulása jogcímenként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</si>
  <si>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</si>
  <si>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</si>
  <si>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</si>
  <si>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</si>
  <si>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 xml:space="preserve">   Elszámolásból származó bevételek</t>
  </si>
  <si>
    <t>Telekadó</t>
  </si>
  <si>
    <t>Kommunálisadó</t>
  </si>
  <si>
    <t>Adópótlék</t>
  </si>
  <si>
    <t>Bírság</t>
  </si>
  <si>
    <t>4.8.</t>
  </si>
  <si>
    <t>2023. évi eredeti előirányzat BEVÉTELEK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</si>
  <si>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</si>
  <si>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</si>
  <si>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</si>
  <si>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</si>
  <si>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I. számú módosítás utáni előirányzat</t>
  </si>
  <si>
    <t>Eddigi módosítások összege 2023-ben</t>
  </si>
  <si>
    <t>I. sz. módosítás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</si>
  <si>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</si>
  <si>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</si>
  <si>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</si>
  <si>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</si>
  <si>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</si>
  <si>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</si>
  <si>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</si>
  <si>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</si>
  <si>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</si>
  <si>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</si>
  <si>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</si>
  <si>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</si>
  <si>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</si>
  <si>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</si>
  <si>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</si>
  <si>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</si>
  <si>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</si>
  <si>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</si>
  <si>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</si>
  <si>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</si>
  <si>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</si>
  <si>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</si>
  <si>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</si>
  <si>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Polgármesteri illetményhez és költségtérítéshez nyújtott támogatás</t>
  </si>
  <si>
    <t>Közvilágítás kiegészítő támogatás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</si>
  <si>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</si>
  <si>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</si>
  <si>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</si>
  <si>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</si>
  <si>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</si>
  <si>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</si>
  <si>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</si>
  <si>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</si>
  <si>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</si>
  <si>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</si>
  <si>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</si>
  <si>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</si>
  <si>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</si>
  <si>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</si>
  <si>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</si>
  <si>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</si>
  <si>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 xml:space="preserve">Halmozott módosítás </t>
  </si>
  <si>
    <t xml:space="preserve">Módosítások összesen </t>
  </si>
  <si>
    <t>Szennyvíz elvezetéshez  tervek (Mű.ház)</t>
  </si>
  <si>
    <t>Rendezvény parkoló villamos mérés kialkítása</t>
  </si>
  <si>
    <t>Villamos mérő cseréje TRIÁL vendégház</t>
  </si>
  <si>
    <t>TELÜZ ingatlan felújítás (ajtó ablak csere)</t>
  </si>
  <si>
    <t>Panoráma sétány</t>
  </si>
  <si>
    <t xml:space="preserve">Magyar Falu Program Utak hídak Barackos, Körte utca Műszaki dokumentáció 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</si>
  <si>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</si>
  <si>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</si>
  <si>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</si>
  <si>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</si>
  <si>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</si>
  <si>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</si>
  <si>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</si>
  <si>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</si>
  <si>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</si>
  <si>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</si>
  <si>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</si>
  <si>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</si>
  <si>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</si>
  <si>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</si>
  <si>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</si>
  <si>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</si>
  <si>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</si>
  <si>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</si>
  <si>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</si>
  <si>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</si>
  <si>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21. melléklet a 2023/ (…..) önkormányzati rendelethez</t>
  </si>
  <si>
    <t>22. melléklet</t>
  </si>
  <si>
    <t>Az önkormányzat által adott közvetett támogatások (kedvezmények)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</si>
</sst>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77" fillId="0" borderId="32" xfId="0" applyNumberFormat="1" applyFont="1" applyBorder="1" applyAlignment="1" applyProtection="1">
      <alignment horizontal="center" vertical="center" wrapText="1"/>
      <protection/>
    </xf>
    <xf numFmtId="164" fontId="77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7" fillId="0" borderId="47" xfId="0" applyFont="1" applyBorder="1" applyAlignment="1">
      <alignment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 vertical="center"/>
    </xf>
    <xf numFmtId="0" fontId="13" fillId="0" borderId="72" xfId="0" applyFont="1" applyFill="1" applyBorder="1" applyAlignment="1">
      <alignment/>
    </xf>
    <xf numFmtId="3" fontId="16" fillId="0" borderId="73" xfId="61" applyNumberFormat="1" applyFont="1" applyFill="1" applyBorder="1">
      <alignment/>
      <protection/>
    </xf>
    <xf numFmtId="49" fontId="13" fillId="0" borderId="72" xfId="0" applyNumberFormat="1" applyFont="1" applyFill="1" applyBorder="1" applyAlignment="1">
      <alignment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3" fillId="0" borderId="4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%20K&#246;lts&#233;gvet&#233;s\II.%20fordul&#243;\Henit&#337;l%20v&#233;gleges\El&#337;terjeszt&#233;s%20rendelet%20mell&#233;kletek%20KVIREN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30.sz.mell"/>
      <sheetName val="KV_31.sz.mell"/>
      <sheetName val="KV_32.sz.mell"/>
    </sheetNames>
    <sheetDataSet>
      <sheetData sheetId="3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4.125" style="0" customWidth="1"/>
    <col min="2" max="2" width="105.50390625" style="0" customWidth="1"/>
  </cols>
  <sheetData>
    <row r="2" spans="1:2" ht="18.75">
      <c r="A2" s="522" t="s">
        <v>487</v>
      </c>
      <c r="B2" s="522"/>
    </row>
    <row r="3" spans="1:2" ht="15">
      <c r="A3" s="410"/>
      <c r="B3" s="411"/>
    </row>
    <row r="4" spans="1:2" ht="14.25">
      <c r="A4" s="412" t="s">
        <v>488</v>
      </c>
      <c r="B4" s="413" t="s">
        <v>489</v>
      </c>
    </row>
    <row r="5" spans="1:2" ht="12.75">
      <c r="A5" s="414"/>
      <c r="B5" s="414"/>
    </row>
    <row r="6" spans="1:2" ht="18.75">
      <c r="A6" s="523" t="s">
        <v>497</v>
      </c>
      <c r="B6" s="523"/>
    </row>
    <row r="7" spans="1:2" ht="12.75">
      <c r="A7" s="414" t="s">
        <v>490</v>
      </c>
      <c r="B7" s="414" t="s">
        <v>491</v>
      </c>
    </row>
    <row r="8" spans="1:2" ht="12.75">
      <c r="A8" s="414" t="s">
        <v>492</v>
      </c>
      <c r="B8" s="414" t="s">
        <v>510</v>
      </c>
    </row>
    <row r="9" spans="1:2" ht="12.75">
      <c r="A9" s="414" t="s">
        <v>515</v>
      </c>
      <c r="B9" s="414" t="s">
        <v>511</v>
      </c>
    </row>
    <row r="10" spans="1:2" ht="12.75">
      <c r="A10" s="414" t="s">
        <v>516</v>
      </c>
      <c r="B10" s="414" t="s">
        <v>512</v>
      </c>
    </row>
    <row r="11" spans="1:2" ht="12.75">
      <c r="A11" s="414" t="s">
        <v>495</v>
      </c>
      <c r="B11" s="414" t="s">
        <v>513</v>
      </c>
    </row>
    <row r="12" spans="1:2" ht="12.75">
      <c r="A12" s="414" t="s">
        <v>496</v>
      </c>
      <c r="B12" s="414" t="s">
        <v>514</v>
      </c>
    </row>
    <row r="13" spans="1:2" ht="12.75">
      <c r="A13" s="414" t="s">
        <v>517</v>
      </c>
      <c r="B13" s="414" t="s">
        <v>498</v>
      </c>
    </row>
    <row r="14" spans="1:2" ht="12.75">
      <c r="A14" s="414" t="s">
        <v>508</v>
      </c>
      <c r="B14" s="414" t="s">
        <v>499</v>
      </c>
    </row>
    <row r="15" spans="1:2" ht="12.75">
      <c r="A15" s="414" t="s">
        <v>493</v>
      </c>
      <c r="B15" s="414" t="s">
        <v>494</v>
      </c>
    </row>
    <row r="16" spans="1:2" ht="12.75">
      <c r="A16" s="414" t="s">
        <v>518</v>
      </c>
      <c r="B16" s="414" t="s">
        <v>439</v>
      </c>
    </row>
    <row r="17" spans="1:2" ht="12.75">
      <c r="A17" s="414" t="s">
        <v>519</v>
      </c>
      <c r="B17" s="414" t="s">
        <v>442</v>
      </c>
    </row>
    <row r="18" spans="1:2" ht="12.75">
      <c r="A18" s="414" t="s">
        <v>520</v>
      </c>
      <c r="B18" s="414" t="s">
        <v>533</v>
      </c>
    </row>
    <row r="19" spans="1:2" ht="12.75">
      <c r="A19" s="414" t="s">
        <v>521</v>
      </c>
      <c r="B19" s="414" t="s">
        <v>534</v>
      </c>
    </row>
    <row r="20" spans="1:2" ht="12.75">
      <c r="A20" s="414" t="s">
        <v>522</v>
      </c>
      <c r="B20" s="414" t="s">
        <v>535</v>
      </c>
    </row>
    <row r="21" spans="1:2" ht="12.75">
      <c r="A21" s="414" t="s">
        <v>523</v>
      </c>
      <c r="B21" s="414" t="s">
        <v>536</v>
      </c>
    </row>
    <row r="22" spans="1:2" ht="12.75">
      <c r="A22" s="414" t="s">
        <v>524</v>
      </c>
      <c r="B22" s="414" t="s">
        <v>537</v>
      </c>
    </row>
    <row r="23" spans="1:2" ht="12.75">
      <c r="A23" s="414" t="s">
        <v>525</v>
      </c>
      <c r="B23" t="s">
        <v>538</v>
      </c>
    </row>
    <row r="24" spans="1:2" ht="12.75">
      <c r="A24" s="414" t="s">
        <v>526</v>
      </c>
      <c r="B24" t="s">
        <v>539</v>
      </c>
    </row>
    <row r="25" spans="1:2" ht="12.75">
      <c r="A25" s="414" t="s">
        <v>527</v>
      </c>
      <c r="B25" t="s">
        <v>540</v>
      </c>
    </row>
    <row r="26" spans="1:2" ht="12.75">
      <c r="A26" s="414" t="s">
        <v>528</v>
      </c>
      <c r="B26" t="s">
        <v>541</v>
      </c>
    </row>
    <row r="27" spans="1:2" ht="12.75">
      <c r="A27" s="414" t="s">
        <v>529</v>
      </c>
      <c r="B27" t="s">
        <v>542</v>
      </c>
    </row>
    <row r="28" spans="1:2" ht="12.75">
      <c r="A28" s="414" t="s">
        <v>530</v>
      </c>
      <c r="B28" t="s">
        <v>543</v>
      </c>
    </row>
    <row r="29" spans="1:2" ht="12.75">
      <c r="A29" s="414" t="s">
        <v>531</v>
      </c>
      <c r="B29" t="s">
        <v>544</v>
      </c>
    </row>
    <row r="30" spans="1:2" ht="12.75">
      <c r="A30" s="414" t="s">
        <v>532</v>
      </c>
      <c r="B30" t="s">
        <v>635</v>
      </c>
    </row>
    <row r="31" spans="1:2" ht="12.75">
      <c r="A31" s="414" t="s">
        <v>634</v>
      </c>
      <c r="B31" t="s">
        <v>545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J36" sqref="J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420</v>
      </c>
      <c r="B1" s="59"/>
      <c r="C1" s="59"/>
      <c r="D1" s="59"/>
      <c r="E1" s="209" t="s">
        <v>84</v>
      </c>
    </row>
    <row r="2" spans="1:5" ht="12.75">
      <c r="A2" s="59"/>
      <c r="B2" s="59"/>
      <c r="C2" s="59"/>
      <c r="D2" s="59"/>
      <c r="E2" s="59"/>
    </row>
    <row r="3" spans="1:5" ht="12.75">
      <c r="A3" s="210"/>
      <c r="B3" s="211"/>
      <c r="C3" s="210"/>
      <c r="D3" s="212"/>
      <c r="E3" s="211"/>
    </row>
    <row r="4" spans="1:5" ht="15.75">
      <c r="A4" s="61" t="str">
        <f>+RM_ÖSSZEFÜGGÉSEK!A6</f>
        <v>2023.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389</v>
      </c>
      <c r="B6" s="211">
        <f>+'1.sz.mell.'!C70</f>
        <v>563046725</v>
      </c>
      <c r="C6" s="210" t="s">
        <v>369</v>
      </c>
      <c r="D6" s="212">
        <f>+'5.sz.mell.'!C18+'6.sz.mell.'!C17</f>
        <v>563046725</v>
      </c>
      <c r="E6" s="211">
        <f>+B6-D6</f>
        <v>0</v>
      </c>
    </row>
    <row r="7" spans="1:5" ht="12.75">
      <c r="A7" s="210" t="s">
        <v>405</v>
      </c>
      <c r="B7" s="211">
        <f>+'1.sz.mell.'!C94</f>
        <v>247486468</v>
      </c>
      <c r="C7" s="210" t="s">
        <v>375</v>
      </c>
      <c r="D7" s="212">
        <f>+'5.sz.mell.'!C29+'6.sz.mell.'!C30</f>
        <v>247486468</v>
      </c>
      <c r="E7" s="211">
        <f>+B7-D7</f>
        <v>0</v>
      </c>
    </row>
    <row r="8" spans="1:5" ht="12.75">
      <c r="A8" s="210" t="s">
        <v>406</v>
      </c>
      <c r="B8" s="211">
        <f>+'1.sz.mell.'!C95</f>
        <v>810533193</v>
      </c>
      <c r="C8" s="210" t="s">
        <v>376</v>
      </c>
      <c r="D8" s="212">
        <f>+'5.sz.mell.'!C30+'6.sz.mell.'!C31</f>
        <v>810533193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1" t="str">
        <f>+RM_ÖSSZEFÜGGÉSEK!A13</f>
        <v>2023.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390</v>
      </c>
      <c r="B12" s="211">
        <f>+'1.sz.mell.'!J70</f>
        <v>109525281</v>
      </c>
      <c r="C12" s="210" t="s">
        <v>370</v>
      </c>
      <c r="D12" s="212">
        <f>+'5.sz.mell.'!D18+'6.sz.mell.'!D17</f>
        <v>109525281</v>
      </c>
      <c r="E12" s="211">
        <f>+B12-D12</f>
        <v>0</v>
      </c>
    </row>
    <row r="13" spans="1:5" ht="12.75">
      <c r="A13" s="210" t="s">
        <v>391</v>
      </c>
      <c r="B13" s="211">
        <f>+'1.sz.mell.'!J94</f>
        <v>10572856</v>
      </c>
      <c r="C13" s="210" t="s">
        <v>377</v>
      </c>
      <c r="D13" s="212">
        <f>+'5.sz.mell.'!D29+'6.sz.mell.'!D30</f>
        <v>10572856</v>
      </c>
      <c r="E13" s="211">
        <f>+B13-D13</f>
        <v>0</v>
      </c>
    </row>
    <row r="14" spans="1:5" ht="12.75">
      <c r="A14" s="210" t="s">
        <v>392</v>
      </c>
      <c r="B14" s="211">
        <f>+'1.sz.mell.'!J95</f>
        <v>120098137</v>
      </c>
      <c r="C14" s="210" t="s">
        <v>378</v>
      </c>
      <c r="D14" s="212">
        <f>+'5.sz.mell.'!D30+'6.sz.mell.'!D31</f>
        <v>120098137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2023. módosítás utáni módosított előrirányzatok BEVÉTELEK</v>
      </c>
      <c r="B16" s="60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393</v>
      </c>
      <c r="B18" s="211">
        <f>+'1.sz.mell.'!K70</f>
        <v>672572006</v>
      </c>
      <c r="C18" s="210" t="s">
        <v>371</v>
      </c>
      <c r="D18" s="212">
        <f>+'5.sz.mell.'!E18+'6.sz.mell.'!E17</f>
        <v>672572006</v>
      </c>
      <c r="E18" s="211">
        <f>+B18-D18</f>
        <v>0</v>
      </c>
    </row>
    <row r="19" spans="1:5" ht="12.75">
      <c r="A19" s="210" t="s">
        <v>394</v>
      </c>
      <c r="B19" s="211">
        <f>+'1.sz.mell.'!K94</f>
        <v>258059324</v>
      </c>
      <c r="C19" s="210" t="s">
        <v>379</v>
      </c>
      <c r="D19" s="212">
        <f>+'5.sz.mell.'!E29+'6.sz.mell.'!E30</f>
        <v>258059324</v>
      </c>
      <c r="E19" s="211">
        <f>+B19-D19</f>
        <v>0</v>
      </c>
    </row>
    <row r="20" spans="1:5" ht="12.75">
      <c r="A20" s="210" t="s">
        <v>395</v>
      </c>
      <c r="B20" s="211">
        <f>+'1.sz.mell.'!K95</f>
        <v>930631330</v>
      </c>
      <c r="C20" s="210" t="s">
        <v>380</v>
      </c>
      <c r="D20" s="212">
        <f>+'5.sz.mell.'!E30+'6.sz.mell.'!E31</f>
        <v>930631330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1" t="str">
        <f>+RM_ÖSSZEFÜGGÉSEK!A25</f>
        <v>2023.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407</v>
      </c>
      <c r="B24" s="211">
        <f>+'1.sz.mell.'!C137</f>
        <v>805055527</v>
      </c>
      <c r="C24" s="210" t="s">
        <v>372</v>
      </c>
      <c r="D24" s="212">
        <f>+'5.sz.mell.'!G18+'6.sz.mell.'!G17</f>
        <v>805055527</v>
      </c>
      <c r="E24" s="211">
        <f>+B24-D24</f>
        <v>0</v>
      </c>
    </row>
    <row r="25" spans="1:5" ht="12.75">
      <c r="A25" s="210" t="s">
        <v>397</v>
      </c>
      <c r="B25" s="211">
        <f>+'1.sz.mell.'!C162</f>
        <v>5477666</v>
      </c>
      <c r="C25" s="210" t="s">
        <v>381</v>
      </c>
      <c r="D25" s="212">
        <f>+'5.sz.mell.'!G29+'6.sz.mell.'!G30</f>
        <v>5477666</v>
      </c>
      <c r="E25" s="211">
        <f>+B25-D25</f>
        <v>0</v>
      </c>
    </row>
    <row r="26" spans="1:5" ht="12.75">
      <c r="A26" s="210" t="s">
        <v>398</v>
      </c>
      <c r="B26" s="211">
        <f>+'1.sz.mell.'!C163</f>
        <v>810533193</v>
      </c>
      <c r="C26" s="210" t="s">
        <v>382</v>
      </c>
      <c r="D26" s="212">
        <f>+'5.sz.mell.'!G30+'6.sz.mell.'!G31</f>
        <v>810533193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1" t="str">
        <f>+RM_ÖSSZEFÜGGÉSEK!A31</f>
        <v>2023.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399</v>
      </c>
      <c r="B30" s="211">
        <f>+'1.sz.mell.'!J137</f>
        <v>120098137</v>
      </c>
      <c r="C30" s="210" t="s">
        <v>373</v>
      </c>
      <c r="D30" s="212">
        <f>+'5.sz.mell.'!H18+'6.sz.mell.'!H17</f>
        <v>120098137</v>
      </c>
      <c r="E30" s="211">
        <f>+B30-D30</f>
        <v>0</v>
      </c>
    </row>
    <row r="31" spans="1:5" ht="12.75">
      <c r="A31" s="210" t="s">
        <v>400</v>
      </c>
      <c r="B31" s="211">
        <f>+'1.sz.mell.'!J162</f>
        <v>0</v>
      </c>
      <c r="C31" s="210" t="s">
        <v>383</v>
      </c>
      <c r="D31" s="212">
        <f>+'5.sz.mell.'!H29+'6.sz.mell.'!H30</f>
        <v>0</v>
      </c>
      <c r="E31" s="211">
        <f>+B31-D31</f>
        <v>0</v>
      </c>
    </row>
    <row r="32" spans="1:5" ht="12.75">
      <c r="A32" s="210" t="s">
        <v>401</v>
      </c>
      <c r="B32" s="211">
        <f>+'1.sz.mell.'!J163</f>
        <v>120098137</v>
      </c>
      <c r="C32" s="210" t="s">
        <v>384</v>
      </c>
      <c r="D32" s="212">
        <f>+'5.sz.mell.'!H30+'6.sz.mell.'!H31</f>
        <v>120098137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2023.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402</v>
      </c>
      <c r="B36" s="211">
        <f>+'1.sz.mell.'!K137</f>
        <v>925153664</v>
      </c>
      <c r="C36" s="210" t="s">
        <v>374</v>
      </c>
      <c r="D36" s="212">
        <f>+'5.sz.mell.'!I18+'6.sz.mell.'!I17</f>
        <v>925153664</v>
      </c>
      <c r="E36" s="211">
        <f>+B36-D36</f>
        <v>0</v>
      </c>
    </row>
    <row r="37" spans="1:5" ht="12.75">
      <c r="A37" s="210" t="s">
        <v>403</v>
      </c>
      <c r="B37" s="211">
        <f>+'1.sz.mell.'!K162</f>
        <v>5477666</v>
      </c>
      <c r="C37" s="210" t="s">
        <v>385</v>
      </c>
      <c r="D37" s="212">
        <f>+'5.sz.mell.'!I29+'6.sz.mell.'!I30</f>
        <v>5477666</v>
      </c>
      <c r="E37" s="211">
        <f>+B37-D37</f>
        <v>0</v>
      </c>
    </row>
    <row r="38" spans="1:5" ht="12.75">
      <c r="A38" s="210" t="s">
        <v>408</v>
      </c>
      <c r="B38" s="211">
        <f>+'1.sz.mell.'!K163</f>
        <v>930631330</v>
      </c>
      <c r="C38" s="210" t="s">
        <v>386</v>
      </c>
      <c r="D38" s="212">
        <f>+'5.sz.mell.'!I30+'6.sz.mell.'!I31</f>
        <v>930631330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view="pageBreakPreview" zoomScale="60" zoomScaleNormal="120" workbookViewId="0" topLeftCell="A1">
      <selection activeCell="E27" sqref="E2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53" t="str">
        <f>CONCATENATE("7. melléklet ",RM_ALAPADATOK!A7," ",RM_ALAPADATOK!B7," ",RM_ALAPADATOK!C7," ",RM_ALAPADATOK!D7," ",RM_ALAPADATOK!E7," ",RM_ALAPADATOK!F7," ",RM_ALAPADATOK!G7," ",RM_ALAPADATOK!H7)</f>
        <v>7. melléklet a  / 2023 ( … ) önkormányzati rendelethez</v>
      </c>
      <c r="D1" s="554"/>
      <c r="E1" s="554"/>
      <c r="F1" s="554"/>
      <c r="G1" s="554"/>
      <c r="H1" s="554"/>
      <c r="I1" s="554"/>
    </row>
    <row r="3" spans="1:9" ht="25.5" customHeight="1">
      <c r="A3" s="552" t="s">
        <v>439</v>
      </c>
      <c r="B3" s="552"/>
      <c r="C3" s="552"/>
      <c r="D3" s="552"/>
      <c r="E3" s="552"/>
      <c r="F3" s="552"/>
      <c r="G3" s="552"/>
      <c r="H3" s="552"/>
      <c r="I3" s="552"/>
    </row>
    <row r="4" spans="1:9" ht="22.5" customHeight="1" thickBot="1">
      <c r="A4" s="54"/>
      <c r="B4" s="33"/>
      <c r="C4" s="33"/>
      <c r="D4" s="33"/>
      <c r="E4" s="33"/>
      <c r="F4" s="33"/>
      <c r="G4" s="33"/>
      <c r="H4" s="33"/>
      <c r="I4" s="30" t="str">
        <f>'6.sz.mell.'!I2</f>
        <v>Forintban!</v>
      </c>
    </row>
    <row r="5" spans="1:9" s="28" customFormat="1" ht="44.25" customHeight="1" thickBot="1">
      <c r="A5" s="55" t="s">
        <v>42</v>
      </c>
      <c r="B5" s="434" t="s">
        <v>43</v>
      </c>
      <c r="C5" s="434" t="s">
        <v>44</v>
      </c>
      <c r="D5" s="434" t="str">
        <f>+CONCATENATE("Felhasználás   ",LEFT(RM_ÖSSZEFÜGGÉSEK!A6,4)-1,". XII. 31-ig")</f>
        <v>Felhasználás   2022. XII. 31-ig</v>
      </c>
      <c r="E5" s="434" t="str">
        <f>+CONCATENATE(LEFT(RM_ÖSSZEFÜGGÉSEK!A6,4),". évi",CHAR(10),"eredeti előirányzat")</f>
        <v>2023. évi
eredeti előirányzat</v>
      </c>
      <c r="F5" s="294" t="s">
        <v>562</v>
      </c>
      <c r="G5" s="294" t="s">
        <v>563</v>
      </c>
      <c r="H5" s="294" t="s">
        <v>606</v>
      </c>
      <c r="I5" s="295" t="s">
        <v>561</v>
      </c>
    </row>
    <row r="6" spans="1:9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32" t="s">
        <v>346</v>
      </c>
      <c r="G6" s="32" t="s">
        <v>347</v>
      </c>
      <c r="H6" s="296" t="s">
        <v>432</v>
      </c>
      <c r="I6" s="297" t="s">
        <v>431</v>
      </c>
    </row>
    <row r="7" spans="1:9" ht="15.75" customHeight="1">
      <c r="A7" s="171" t="s">
        <v>564</v>
      </c>
      <c r="B7" s="20">
        <v>635000</v>
      </c>
      <c r="C7" s="173" t="s">
        <v>565</v>
      </c>
      <c r="D7" s="20"/>
      <c r="E7" s="20">
        <v>635000</v>
      </c>
      <c r="F7" s="20"/>
      <c r="G7" s="20"/>
      <c r="H7" s="20">
        <f aca="true" t="shared" si="0" ref="H7:H20">F7+G7</f>
        <v>0</v>
      </c>
      <c r="I7" s="34">
        <f aca="true" t="shared" si="1" ref="I7:I20">E7+H7</f>
        <v>635000</v>
      </c>
    </row>
    <row r="8" spans="1:9" ht="15.75" customHeight="1">
      <c r="A8" s="171" t="s">
        <v>566</v>
      </c>
      <c r="B8" s="20">
        <v>1800500</v>
      </c>
      <c r="C8" s="173" t="s">
        <v>565</v>
      </c>
      <c r="D8" s="20"/>
      <c r="E8" s="20">
        <v>1800500</v>
      </c>
      <c r="F8" s="20"/>
      <c r="G8" s="20"/>
      <c r="H8" s="20">
        <f t="shared" si="0"/>
        <v>0</v>
      </c>
      <c r="I8" s="34">
        <f t="shared" si="1"/>
        <v>1800500</v>
      </c>
    </row>
    <row r="9" spans="1:9" ht="15.75" customHeight="1">
      <c r="A9" s="171" t="s">
        <v>567</v>
      </c>
      <c r="B9" s="20">
        <v>63500</v>
      </c>
      <c r="C9" s="173" t="s">
        <v>565</v>
      </c>
      <c r="D9" s="20"/>
      <c r="E9" s="20">
        <v>63500</v>
      </c>
      <c r="F9" s="20"/>
      <c r="G9" s="20"/>
      <c r="H9" s="20">
        <f t="shared" si="0"/>
        <v>0</v>
      </c>
      <c r="I9" s="34">
        <f t="shared" si="1"/>
        <v>63500</v>
      </c>
    </row>
    <row r="10" spans="1:9" ht="15.75" customHeight="1">
      <c r="A10" s="488" t="s">
        <v>568</v>
      </c>
      <c r="B10" s="21">
        <v>458700</v>
      </c>
      <c r="C10" s="174" t="s">
        <v>565</v>
      </c>
      <c r="D10" s="21"/>
      <c r="E10" s="21">
        <v>458700</v>
      </c>
      <c r="F10" s="21"/>
      <c r="G10" s="21"/>
      <c r="H10" s="20">
        <f t="shared" si="0"/>
        <v>0</v>
      </c>
      <c r="I10" s="34">
        <f t="shared" si="1"/>
        <v>458700</v>
      </c>
    </row>
    <row r="11" spans="1:9" ht="15.75" customHeight="1">
      <c r="A11" s="489" t="s">
        <v>607</v>
      </c>
      <c r="B11" s="20">
        <v>190500</v>
      </c>
      <c r="C11" s="174" t="s">
        <v>565</v>
      </c>
      <c r="D11" s="21"/>
      <c r="E11" s="21"/>
      <c r="F11" s="21"/>
      <c r="G11" s="20">
        <v>190500</v>
      </c>
      <c r="H11" s="20">
        <f t="shared" si="0"/>
        <v>190500</v>
      </c>
      <c r="I11" s="34">
        <f t="shared" si="1"/>
        <v>190500</v>
      </c>
    </row>
    <row r="12" spans="1:9" ht="15.75" customHeight="1">
      <c r="A12" s="489" t="s">
        <v>608</v>
      </c>
      <c r="B12" s="20">
        <v>800100</v>
      </c>
      <c r="C12" s="174" t="s">
        <v>565</v>
      </c>
      <c r="D12" s="21"/>
      <c r="E12" s="21"/>
      <c r="F12" s="21"/>
      <c r="G12" s="20">
        <v>800100</v>
      </c>
      <c r="H12" s="20">
        <f t="shared" si="0"/>
        <v>800100</v>
      </c>
      <c r="I12" s="34">
        <f t="shared" si="1"/>
        <v>800100</v>
      </c>
    </row>
    <row r="13" spans="1:9" ht="15.75" customHeight="1" thickBot="1">
      <c r="A13" s="490" t="s">
        <v>609</v>
      </c>
      <c r="B13" s="472">
        <v>589280</v>
      </c>
      <c r="C13" s="473" t="s">
        <v>565</v>
      </c>
      <c r="D13" s="472"/>
      <c r="E13" s="472"/>
      <c r="F13" s="472"/>
      <c r="G13" s="472">
        <v>589280</v>
      </c>
      <c r="H13" s="472">
        <f t="shared" si="0"/>
        <v>589280</v>
      </c>
      <c r="I13" s="478">
        <f t="shared" si="1"/>
        <v>589280</v>
      </c>
    </row>
    <row r="14" spans="1:9" ht="15.75" customHeight="1">
      <c r="A14" s="474" t="s">
        <v>569</v>
      </c>
      <c r="B14" s="475">
        <v>3417000</v>
      </c>
      <c r="C14" s="476" t="s">
        <v>565</v>
      </c>
      <c r="D14" s="475"/>
      <c r="E14" s="475">
        <v>3417000</v>
      </c>
      <c r="F14" s="475"/>
      <c r="G14" s="475"/>
      <c r="H14" s="475">
        <f t="shared" si="0"/>
        <v>0</v>
      </c>
      <c r="I14" s="477">
        <f t="shared" si="1"/>
        <v>3417000</v>
      </c>
    </row>
    <row r="15" spans="1:9" ht="15.75" customHeight="1">
      <c r="A15" s="172" t="s">
        <v>570</v>
      </c>
      <c r="B15" s="20">
        <v>292100</v>
      </c>
      <c r="C15" s="173" t="s">
        <v>565</v>
      </c>
      <c r="D15" s="20"/>
      <c r="E15" s="20">
        <v>292100</v>
      </c>
      <c r="F15" s="20"/>
      <c r="G15" s="20"/>
      <c r="H15" s="20">
        <f t="shared" si="0"/>
        <v>0</v>
      </c>
      <c r="I15" s="34">
        <f t="shared" si="1"/>
        <v>292100</v>
      </c>
    </row>
    <row r="16" spans="1:9" ht="15.75" customHeight="1">
      <c r="A16" s="171" t="s">
        <v>571</v>
      </c>
      <c r="B16" s="20">
        <v>5000000</v>
      </c>
      <c r="C16" s="173" t="s">
        <v>565</v>
      </c>
      <c r="D16" s="20"/>
      <c r="E16" s="20">
        <v>5000000</v>
      </c>
      <c r="F16" s="20"/>
      <c r="G16" s="20"/>
      <c r="H16" s="20">
        <f t="shared" si="0"/>
        <v>0</v>
      </c>
      <c r="I16" s="34">
        <f t="shared" si="1"/>
        <v>5000000</v>
      </c>
    </row>
    <row r="17" spans="1:9" ht="15.75" customHeight="1">
      <c r="A17" s="171" t="s">
        <v>572</v>
      </c>
      <c r="B17" s="20">
        <v>200577956</v>
      </c>
      <c r="C17" s="173" t="s">
        <v>573</v>
      </c>
      <c r="D17" s="20"/>
      <c r="E17" s="20">
        <v>93314896</v>
      </c>
      <c r="F17" s="20"/>
      <c r="G17" s="20">
        <v>102796090</v>
      </c>
      <c r="H17" s="20">
        <f t="shared" si="0"/>
        <v>102796090</v>
      </c>
      <c r="I17" s="34">
        <f t="shared" si="1"/>
        <v>196110986</v>
      </c>
    </row>
    <row r="18" spans="1:9" ht="15.75" customHeight="1">
      <c r="A18" s="171" t="s">
        <v>574</v>
      </c>
      <c r="B18" s="20">
        <v>12815000</v>
      </c>
      <c r="C18" s="173" t="s">
        <v>565</v>
      </c>
      <c r="D18" s="20"/>
      <c r="E18" s="20">
        <v>12815000</v>
      </c>
      <c r="F18" s="20"/>
      <c r="G18" s="20">
        <v>235000</v>
      </c>
      <c r="H18" s="20">
        <f t="shared" si="0"/>
        <v>235000</v>
      </c>
      <c r="I18" s="34">
        <f t="shared" si="1"/>
        <v>13050000</v>
      </c>
    </row>
    <row r="19" spans="1:9" ht="15.75" customHeight="1">
      <c r="A19" s="171" t="s">
        <v>611</v>
      </c>
      <c r="B19" s="20">
        <v>6050000</v>
      </c>
      <c r="C19" s="173" t="s">
        <v>565</v>
      </c>
      <c r="D19" s="20"/>
      <c r="E19" s="20"/>
      <c r="F19" s="20"/>
      <c r="G19" s="20">
        <v>4000000</v>
      </c>
      <c r="H19" s="20">
        <f t="shared" si="0"/>
        <v>4000000</v>
      </c>
      <c r="I19" s="34">
        <f t="shared" si="1"/>
        <v>4000000</v>
      </c>
    </row>
    <row r="20" spans="1:9" ht="19.5" customHeight="1" thickBot="1">
      <c r="A20" s="171" t="s">
        <v>612</v>
      </c>
      <c r="B20" s="20"/>
      <c r="C20" s="173" t="s">
        <v>565</v>
      </c>
      <c r="D20" s="20"/>
      <c r="E20" s="20"/>
      <c r="F20" s="20"/>
      <c r="G20" s="20">
        <v>1250000</v>
      </c>
      <c r="H20" s="20">
        <f t="shared" si="0"/>
        <v>1250000</v>
      </c>
      <c r="I20" s="34">
        <f t="shared" si="1"/>
        <v>1250000</v>
      </c>
    </row>
    <row r="21" spans="1:9" s="38" customFormat="1" ht="18" customHeight="1" thickBot="1">
      <c r="A21" s="57" t="s">
        <v>41</v>
      </c>
      <c r="B21" s="36">
        <f>SUM(B7:B20)</f>
        <v>232689636</v>
      </c>
      <c r="C21" s="44"/>
      <c r="D21" s="36">
        <f aca="true" t="shared" si="2" ref="D21:I21">SUM(D7:D20)</f>
        <v>0</v>
      </c>
      <c r="E21" s="36">
        <f t="shared" si="2"/>
        <v>117796696</v>
      </c>
      <c r="F21" s="36">
        <f t="shared" si="2"/>
        <v>0</v>
      </c>
      <c r="G21" s="36">
        <f t="shared" si="2"/>
        <v>109860970</v>
      </c>
      <c r="H21" s="36">
        <f t="shared" si="2"/>
        <v>109860970</v>
      </c>
      <c r="I21" s="37">
        <f t="shared" si="2"/>
        <v>227657666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"/>
  <sheetViews>
    <sheetView view="pageBreakPreview" zoomScale="60" zoomScaleNormal="120" workbookViewId="0" topLeftCell="A1">
      <selection activeCell="G14" sqref="G14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53" t="str">
        <f>CONCATENATE("8. melléklet ",RM_ALAPADATOK!A7," ",RM_ALAPADATOK!B7," ",RM_ALAPADATOK!C7," ",RM_ALAPADATOK!D7," ",RM_ALAPADATOK!E7," ",RM_ALAPADATOK!F7," ",RM_ALAPADATOK!G7," ",RM_ALAPADATOK!H7)</f>
        <v>8. melléklet a  / 2023 ( … ) önkormányzati rendelethez</v>
      </c>
      <c r="D1" s="554"/>
      <c r="E1" s="554"/>
      <c r="F1" s="554"/>
      <c r="G1" s="554"/>
      <c r="H1" s="554"/>
      <c r="I1" s="554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552" t="s">
        <v>442</v>
      </c>
      <c r="B3" s="552"/>
      <c r="C3" s="552"/>
      <c r="D3" s="552"/>
      <c r="E3" s="552"/>
      <c r="F3" s="552"/>
      <c r="G3" s="552"/>
      <c r="H3" s="552"/>
      <c r="I3" s="552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'6.sz.mell.'!I2</f>
        <v>Forintban!</v>
      </c>
    </row>
    <row r="5" spans="1:9" s="28" customFormat="1" ht="44.25" customHeight="1" thickBot="1">
      <c r="A5" s="55" t="s">
        <v>45</v>
      </c>
      <c r="B5" s="56" t="s">
        <v>43</v>
      </c>
      <c r="C5" s="56" t="s">
        <v>44</v>
      </c>
      <c r="D5" s="56" t="str">
        <f>+CONCATENATE("Felhasználás   ",LEFT(RM_ÖSSZEFÜGGÉSEK!A6,4)-1,". XII. 31-ig")</f>
        <v>Felhasználás   2022. XII. 31-ig</v>
      </c>
      <c r="E5" s="56" t="str">
        <f>+CONCATENATE(LEFT(RM_ÖSSZEFÜGGÉSEK!A6,4),". évi",CHAR(10),"eredeti előirányzat")</f>
        <v>2023. évi
eredeti előirányzat</v>
      </c>
      <c r="F5" s="291" t="str">
        <f>CONCATENATE('7.sz.mell.'!F5)</f>
        <v>Eddigi módosítások összege 2023-ben</v>
      </c>
      <c r="G5" s="431" t="str">
        <f>CONCATENATE('7.sz.mell.'!G5)</f>
        <v>I. sz. módosítás</v>
      </c>
      <c r="H5" s="432" t="str">
        <f>CONCATENATE('7.sz.mell.'!H5)</f>
        <v>Módosítások összesen </v>
      </c>
      <c r="I5" s="433" t="str">
        <f>CONCATENATE('7.sz.mell.'!I5)</f>
        <v>I. számú módosítás utáni előirányzat</v>
      </c>
    </row>
    <row r="6" spans="1:9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296" t="s">
        <v>346</v>
      </c>
      <c r="G6" s="296" t="s">
        <v>347</v>
      </c>
      <c r="H6" s="296" t="s">
        <v>432</v>
      </c>
      <c r="I6" s="297" t="s">
        <v>431</v>
      </c>
    </row>
    <row r="7" spans="1:9" ht="15.75" customHeight="1">
      <c r="A7" s="171" t="s">
        <v>610</v>
      </c>
      <c r="B7" s="20">
        <v>3664628</v>
      </c>
      <c r="C7" s="173" t="s">
        <v>565</v>
      </c>
      <c r="D7" s="20"/>
      <c r="E7" s="20"/>
      <c r="F7" s="20"/>
      <c r="G7" s="20">
        <v>3664628</v>
      </c>
      <c r="H7" s="282">
        <f>F7+G7</f>
        <v>3664628</v>
      </c>
      <c r="I7" s="34">
        <f>E7+H7</f>
        <v>3664628</v>
      </c>
    </row>
    <row r="8" spans="1:9" ht="15.75" customHeight="1">
      <c r="A8" s="171"/>
      <c r="B8" s="20"/>
      <c r="C8" s="173"/>
      <c r="D8" s="20"/>
      <c r="E8" s="20"/>
      <c r="F8" s="20"/>
      <c r="G8" s="20"/>
      <c r="H8" s="282">
        <f>F8+G8</f>
        <v>0</v>
      </c>
      <c r="I8" s="34">
        <f>E8+H8</f>
        <v>0</v>
      </c>
    </row>
    <row r="9" spans="1:9" ht="15.75" customHeight="1" thickBot="1">
      <c r="A9" s="171"/>
      <c r="B9" s="20"/>
      <c r="C9" s="173"/>
      <c r="D9" s="20"/>
      <c r="E9" s="20"/>
      <c r="F9" s="20"/>
      <c r="G9" s="20"/>
      <c r="H9" s="282">
        <f>F9+G9</f>
        <v>0</v>
      </c>
      <c r="I9" s="34">
        <f>E9+H9</f>
        <v>0</v>
      </c>
    </row>
    <row r="10" spans="1:9" s="38" customFormat="1" ht="18" customHeight="1" thickBot="1">
      <c r="A10" s="57" t="s">
        <v>41</v>
      </c>
      <c r="B10" s="36">
        <f>SUM(B7:B9)</f>
        <v>3664628</v>
      </c>
      <c r="C10" s="44"/>
      <c r="D10" s="36">
        <f>SUM(D7:D9)</f>
        <v>0</v>
      </c>
      <c r="E10" s="36">
        <f>SUM(E7:E9)</f>
        <v>0</v>
      </c>
      <c r="F10" s="36"/>
      <c r="G10" s="36"/>
      <c r="H10" s="36">
        <f>SUM(H7:H9)</f>
        <v>3664628</v>
      </c>
      <c r="I10" s="37">
        <f>SUM(I7:I9)</f>
        <v>3664628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09">
      <selection activeCell="D108" sqref="D108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CONCATENATE("9. melléklet ",RM_ALAPADATOK!A7," ",RM_ALAPADATOK!B7," ",RM_ALAPADATOK!C7," ",RM_ALAPADATOK!D7," ",RM_ALAPADATOK!E7," ",RM_ALAPADATOK!F7," ",RM_ALAPADATOK!G7," ",RM_ALAPADATOK!H7)</f>
        <v>9.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16.5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99" t="s">
        <v>476</v>
      </c>
    </row>
    <row r="3" spans="1:11" s="318" customFormat="1" ht="36.75" thickBot="1">
      <c r="A3" s="401" t="s">
        <v>114</v>
      </c>
      <c r="B3" s="562" t="s">
        <v>445</v>
      </c>
      <c r="C3" s="563"/>
      <c r="D3" s="563"/>
      <c r="E3" s="563"/>
      <c r="F3" s="563"/>
      <c r="G3" s="563"/>
      <c r="H3" s="563"/>
      <c r="I3" s="564"/>
      <c r="J3" s="565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">
        <v>561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+D9+D10+D11+D12+D13+D15</f>
        <v>-6625930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+J9+J10+J11+J12+J13+J15</f>
        <v>-6625930</v>
      </c>
      <c r="K8" s="252">
        <f>+K9+K10+K11+K12+K13+K15+K14</f>
        <v>145142416</v>
      </c>
    </row>
    <row r="9" spans="1:11" s="41" customFormat="1" ht="12" customHeight="1">
      <c r="A9" s="152" t="s">
        <v>58</v>
      </c>
      <c r="B9" s="138" t="s">
        <v>138</v>
      </c>
      <c r="C9" s="461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62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62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549</v>
      </c>
      <c r="C12" s="462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>C12+J12</f>
        <v>30999014</v>
      </c>
    </row>
    <row r="13" spans="1:11" s="42" customFormat="1" ht="12" customHeight="1">
      <c r="A13" s="153" t="s">
        <v>78</v>
      </c>
      <c r="B13" s="139" t="s">
        <v>141</v>
      </c>
      <c r="C13" s="462">
        <v>3259749</v>
      </c>
      <c r="D13" s="194"/>
      <c r="E13" s="194"/>
      <c r="F13" s="194"/>
      <c r="G13" s="194"/>
      <c r="H13" s="194"/>
      <c r="I13" s="126"/>
      <c r="J13" s="166">
        <f t="shared" si="2"/>
        <v>0</v>
      </c>
      <c r="K13" s="253">
        <f t="shared" si="1"/>
        <v>3259749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/>
      <c r="F14" s="194"/>
      <c r="G14" s="194"/>
      <c r="H14" s="194"/>
      <c r="I14" s="126"/>
      <c r="J14" s="166">
        <f t="shared" si="2"/>
        <v>14826700</v>
      </c>
      <c r="K14" s="253">
        <f t="shared" si="1"/>
        <v>14826700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62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95604930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194879441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62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462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62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3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J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>+K31+K32+K33+K34+K35+K36+K37+K38</f>
        <v>255000000</v>
      </c>
    </row>
    <row r="31" spans="1:11" s="42" customFormat="1" ht="12" customHeight="1">
      <c r="A31" s="152" t="s">
        <v>152</v>
      </c>
      <c r="B31" s="138" t="s">
        <v>409</v>
      </c>
      <c r="C31" s="461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551</v>
      </c>
      <c r="C32" s="461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62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62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62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552</v>
      </c>
      <c r="C36" s="462">
        <v>150000</v>
      </c>
      <c r="D36" s="126"/>
      <c r="E36" s="126"/>
      <c r="F36" s="126"/>
      <c r="G36" s="126"/>
      <c r="H36" s="126"/>
      <c r="I36" s="126"/>
      <c r="J36" s="277"/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553</v>
      </c>
      <c r="C37" s="462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22039323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22039323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62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62">
        <v>2975716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2975716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>
        <v>3024580</v>
      </c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3024580</v>
      </c>
    </row>
    <row r="45" spans="1:11" s="42" customFormat="1" ht="12" customHeight="1">
      <c r="A45" s="153" t="s">
        <v>95</v>
      </c>
      <c r="B45" s="139" t="s">
        <v>163</v>
      </c>
      <c r="C45" s="462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462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62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529570875</v>
      </c>
      <c r="D67" s="196">
        <f aca="true" t="shared" si="14" ref="D67:K67">+D8+D16+D23+D30+D39+D51+D57+D62</f>
        <v>94698581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94698581</v>
      </c>
      <c r="K67" s="256">
        <f t="shared" si="14"/>
        <v>639096156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231000000</v>
      </c>
      <c r="D80" s="125">
        <f aca="true" t="shared" si="18" ref="D80:K80">SUM(D81:D83)</f>
        <v>7327545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7327545</v>
      </c>
      <c r="K80" s="252">
        <f t="shared" si="18"/>
        <v>238327545</v>
      </c>
    </row>
    <row r="81" spans="1:11" s="42" customFormat="1" ht="12" customHeight="1">
      <c r="A81" s="152" t="s">
        <v>223</v>
      </c>
      <c r="B81" s="138" t="s">
        <v>204</v>
      </c>
      <c r="C81" s="479">
        <v>231000000</v>
      </c>
      <c r="D81" s="129">
        <v>7327545</v>
      </c>
      <c r="E81" s="129"/>
      <c r="F81" s="129"/>
      <c r="G81" s="129"/>
      <c r="H81" s="129"/>
      <c r="I81" s="129"/>
      <c r="J81" s="275">
        <f>D81+E81+F81+G81+H81+I81</f>
        <v>7327545</v>
      </c>
      <c r="K81" s="257">
        <f>C81+J81</f>
        <v>238327545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760570875</v>
      </c>
      <c r="D92" s="131">
        <f aca="true" t="shared" si="23" ref="D92:K92">+D67+D91</f>
        <v>102026126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102026126</v>
      </c>
      <c r="K92" s="256">
        <f t="shared" si="23"/>
        <v>877423701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205932264</v>
      </c>
      <c r="D95" s="260">
        <f aca="true" t="shared" si="24" ref="D95:K95">+D96+D97+D98+D99+D100+D113</f>
        <v>6506779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6506779</v>
      </c>
      <c r="K95" s="263">
        <f t="shared" si="24"/>
        <v>212439043</v>
      </c>
    </row>
    <row r="96" spans="1:11" ht="12" customHeight="1">
      <c r="A96" s="160" t="s">
        <v>58</v>
      </c>
      <c r="B96" s="7" t="s">
        <v>32</v>
      </c>
      <c r="C96" s="465">
        <v>23047053</v>
      </c>
      <c r="D96" s="261">
        <v>-2307325</v>
      </c>
      <c r="E96" s="261"/>
      <c r="F96" s="261"/>
      <c r="G96" s="261"/>
      <c r="H96" s="261"/>
      <c r="I96" s="185"/>
      <c r="J96" s="276">
        <f aca="true" t="shared" si="25" ref="J96:J115">D96+E96+F96+G96+H96+I96</f>
        <v>-2307325</v>
      </c>
      <c r="K96" s="264">
        <f aca="true" t="shared" si="26" ref="K96:K115">C96+J96</f>
        <v>20739728</v>
      </c>
    </row>
    <row r="97" spans="1:11" ht="12" customHeight="1">
      <c r="A97" s="153" t="s">
        <v>59</v>
      </c>
      <c r="B97" s="5" t="s">
        <v>101</v>
      </c>
      <c r="C97" s="462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6">
        <v>50872013</v>
      </c>
      <c r="D98" s="128">
        <v>8047896</v>
      </c>
      <c r="E98" s="128"/>
      <c r="F98" s="128"/>
      <c r="G98" s="128"/>
      <c r="H98" s="126"/>
      <c r="I98" s="128"/>
      <c r="J98" s="278">
        <f t="shared" si="25"/>
        <v>8047896</v>
      </c>
      <c r="K98" s="255">
        <f t="shared" si="26"/>
        <v>58919909</v>
      </c>
    </row>
    <row r="99" spans="1:11" ht="12" customHeight="1">
      <c r="A99" s="153" t="s">
        <v>61</v>
      </c>
      <c r="B99" s="8" t="s">
        <v>102</v>
      </c>
      <c r="C99" s="466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6">
        <v>78130600</v>
      </c>
      <c r="D100" s="128">
        <v>15711772</v>
      </c>
      <c r="E100" s="128"/>
      <c r="F100" s="128"/>
      <c r="G100" s="128"/>
      <c r="H100" s="128"/>
      <c r="I100" s="128"/>
      <c r="J100" s="278">
        <f t="shared" si="25"/>
        <v>15711772</v>
      </c>
      <c r="K100" s="255">
        <f t="shared" si="26"/>
        <v>93842372</v>
      </c>
    </row>
    <row r="101" spans="1:11" ht="12" customHeight="1">
      <c r="A101" s="153" t="s">
        <v>62</v>
      </c>
      <c r="B101" s="5" t="s">
        <v>354</v>
      </c>
      <c r="C101" s="466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6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6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6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6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6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6">
        <v>62389542</v>
      </c>
      <c r="D107" s="128">
        <v>15711772</v>
      </c>
      <c r="E107" s="128"/>
      <c r="F107" s="128"/>
      <c r="G107" s="128"/>
      <c r="H107" s="128"/>
      <c r="I107" s="128"/>
      <c r="J107" s="278">
        <f t="shared" si="25"/>
        <v>15711772</v>
      </c>
      <c r="K107" s="255">
        <f t="shared" si="26"/>
        <v>78101314</v>
      </c>
    </row>
    <row r="108" spans="1:11" ht="12" customHeight="1">
      <c r="A108" s="153" t="s">
        <v>104</v>
      </c>
      <c r="B108" s="49" t="s">
        <v>236</v>
      </c>
      <c r="C108" s="466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6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6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62">
        <v>2018169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2018169</v>
      </c>
    </row>
    <row r="113" spans="1:11" ht="12" customHeight="1">
      <c r="A113" s="153" t="s">
        <v>297</v>
      </c>
      <c r="B113" s="8" t="s">
        <v>33</v>
      </c>
      <c r="C113" s="462">
        <v>44794452</v>
      </c>
      <c r="D113" s="126">
        <v>-15011644</v>
      </c>
      <c r="E113" s="126"/>
      <c r="F113" s="126"/>
      <c r="G113" s="126"/>
      <c r="H113" s="126"/>
      <c r="I113" s="126"/>
      <c r="J113" s="277">
        <f t="shared" si="25"/>
        <v>-15011644</v>
      </c>
      <c r="K113" s="254">
        <f t="shared" si="26"/>
        <v>29782808</v>
      </c>
    </row>
    <row r="114" spans="1:11" ht="12" customHeight="1">
      <c r="A114" s="154" t="s">
        <v>298</v>
      </c>
      <c r="B114" s="5" t="s">
        <v>355</v>
      </c>
      <c r="C114" s="466">
        <v>36937651</v>
      </c>
      <c r="D114" s="128">
        <v>-15011644</v>
      </c>
      <c r="E114" s="128"/>
      <c r="F114" s="128"/>
      <c r="G114" s="128"/>
      <c r="H114" s="128"/>
      <c r="I114" s="128"/>
      <c r="J114" s="278">
        <f t="shared" si="25"/>
        <v>-15011644</v>
      </c>
      <c r="K114" s="255">
        <f t="shared" si="26"/>
        <v>21926007</v>
      </c>
    </row>
    <row r="115" spans="1:11" ht="12" customHeight="1" thickBot="1">
      <c r="A115" s="162" t="s">
        <v>299</v>
      </c>
      <c r="B115" s="52" t="s">
        <v>356</v>
      </c>
      <c r="C115" s="467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119074433</v>
      </c>
      <c r="D116" s="125">
        <f aca="true" t="shared" si="27" ref="D116:J116">+D117+D119+D121</f>
        <v>108281216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108281216</v>
      </c>
      <c r="K116" s="252">
        <f>+K117+K119+K121</f>
        <v>227355649</v>
      </c>
    </row>
    <row r="117" spans="1:11" ht="12" customHeight="1">
      <c r="A117" s="152" t="s">
        <v>64</v>
      </c>
      <c r="B117" s="5" t="s">
        <v>119</v>
      </c>
      <c r="C117" s="461">
        <v>114838996</v>
      </c>
      <c r="D117" s="127">
        <v>108281090</v>
      </c>
      <c r="E117" s="127"/>
      <c r="F117" s="127"/>
      <c r="G117" s="127"/>
      <c r="H117" s="127"/>
      <c r="I117" s="127"/>
      <c r="J117" s="166">
        <f aca="true" t="shared" si="28" ref="J117:J129">D117+E117+F117+G117+H117+I117</f>
        <v>108281090</v>
      </c>
      <c r="K117" s="253">
        <f aca="true" t="shared" si="29" ref="K117:K129">C117+J117</f>
        <v>223120086</v>
      </c>
    </row>
    <row r="118" spans="1:11" ht="12" customHeight="1">
      <c r="A118" s="152" t="s">
        <v>65</v>
      </c>
      <c r="B118" s="9" t="s">
        <v>245</v>
      </c>
      <c r="C118" s="461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62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8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4235437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4235563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468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8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325006697</v>
      </c>
      <c r="D130" s="125">
        <f aca="true" t="shared" si="30" ref="D130:K130">+D95+D116</f>
        <v>114787995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114787995</v>
      </c>
      <c r="K130" s="252">
        <f t="shared" si="30"/>
        <v>439794692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8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8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8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760570875</v>
      </c>
      <c r="D157" s="190">
        <f aca="true" t="shared" si="40" ref="D157:K157">+D130+D156</f>
        <v>116852826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116852826</v>
      </c>
      <c r="K157" s="267">
        <f t="shared" si="40"/>
        <v>877423701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>
        <v>1</v>
      </c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1</v>
      </c>
    </row>
    <row r="160" spans="1:11" ht="14.25" customHeight="1" thickBot="1">
      <c r="A160" s="64" t="s">
        <v>116</v>
      </c>
      <c r="B160" s="65"/>
      <c r="C160" s="222">
        <v>0</v>
      </c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6" max="255" man="1"/>
    <brk id="93" max="255" man="1"/>
    <brk id="1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15">
      <selection activeCell="J109" sqref="J109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CONCATENATE("10. melléklet ",RM_ALAPADATOK!A7," ",RM_ALAPADATOK!B7," ",RM_ALAPADATOK!C7," ",RM_ALAPADATOK!D7," ",RM_ALAPADATOK!E7," ",RM_ALAPADATOK!F7," ",RM_ALAPADATOK!G7," ",RM_ALAPADATOK!H7)</f>
        <v>10.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443</v>
      </c>
      <c r="C3" s="563"/>
      <c r="D3" s="563"/>
      <c r="E3" s="563"/>
      <c r="F3" s="563"/>
      <c r="G3" s="563"/>
      <c r="H3" s="563"/>
      <c r="I3" s="564"/>
      <c r="J3" s="565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435" t="str">
        <f>CONCATENATE('1.sz.mell.'!C9:K9)</f>
        <v>Eredeti
előirányzat</v>
      </c>
      <c r="D5" s="436" t="str">
        <f>CONCATENATE('1.sz.mell.'!D9)</f>
        <v>1. sz. módosítás </v>
      </c>
      <c r="E5" s="436" t="str">
        <f>CONCATENATE('1.sz.mell.'!E9)</f>
        <v>.2. sz. módosítás </v>
      </c>
      <c r="F5" s="436" t="str">
        <f>CONCATENATE('1.sz.mell.'!F9)</f>
        <v>3. sz. módosítás </v>
      </c>
      <c r="G5" s="436" t="str">
        <f>CONCATENATE('1.sz.mell.'!G9)</f>
        <v>4. sz. módosítás </v>
      </c>
      <c r="H5" s="436" t="str">
        <f>CONCATENATE('1.sz.mell.'!H9)</f>
        <v>.5. sz. módosítás </v>
      </c>
      <c r="I5" s="436" t="str">
        <f>CONCATENATE('1.sz.mell.'!I9)</f>
        <v>6. sz. módosítás </v>
      </c>
      <c r="J5" s="436" t="s">
        <v>430</v>
      </c>
      <c r="K5" s="437" t="str">
        <f>CONCATENATE('9.sz.mell'!K5)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+D9+D10+D11+D12+D14+D15</f>
        <v>8200770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8200770</v>
      </c>
      <c r="K8" s="252">
        <f>+K9+K10+K11+K12+K14+K15</f>
        <v>141882667</v>
      </c>
    </row>
    <row r="9" spans="1:11" s="41" customFormat="1" ht="12" customHeight="1">
      <c r="A9" s="152" t="s">
        <v>58</v>
      </c>
      <c r="B9" s="138" t="s">
        <v>138</v>
      </c>
      <c r="C9" s="461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62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62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549</v>
      </c>
      <c r="C12" s="462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30999014</v>
      </c>
    </row>
    <row r="13" spans="1:11" s="42" customFormat="1" ht="12" customHeight="1">
      <c r="A13" s="153" t="s">
        <v>78</v>
      </c>
      <c r="B13" s="139" t="s">
        <v>141</v>
      </c>
      <c r="C13" s="462">
        <v>3259749</v>
      </c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/>
      <c r="F14" s="194"/>
      <c r="G14" s="194"/>
      <c r="H14" s="194"/>
      <c r="I14" s="126"/>
      <c r="J14" s="166">
        <f t="shared" si="2"/>
        <v>14826700</v>
      </c>
      <c r="K14" s="253">
        <f t="shared" si="1"/>
        <v>14826700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62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95274530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194549041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62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6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254850000</v>
      </c>
    </row>
    <row r="31" spans="1:11" s="42" customFormat="1" ht="12" customHeight="1">
      <c r="A31" s="152" t="s">
        <v>152</v>
      </c>
      <c r="B31" s="138" t="s">
        <v>409</v>
      </c>
      <c r="C31" s="461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551</v>
      </c>
      <c r="C32" s="461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62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62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62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552</v>
      </c>
      <c r="C36" s="462">
        <v>150000</v>
      </c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462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551728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551728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462">
        <v>475716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475716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62">
        <v>66012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66012</v>
      </c>
    </row>
    <row r="46" spans="1:11" s="42" customFormat="1" ht="12" customHeight="1">
      <c r="A46" s="153" t="s">
        <v>96</v>
      </c>
      <c r="B46" s="139" t="s">
        <v>164</v>
      </c>
      <c r="C46" s="462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62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507752880</v>
      </c>
      <c r="D67" s="196">
        <f aca="true" t="shared" si="14" ref="D67:K67">+D8+D16+D23+D30+D39+D51+D57+D62</f>
        <v>109525281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109525281</v>
      </c>
      <c r="K67" s="256">
        <f t="shared" si="14"/>
        <v>613868412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479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738752880</v>
      </c>
      <c r="D92" s="131">
        <f aca="true" t="shared" si="23" ref="D92:K92">+D67+D91</f>
        <v>116852826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116852826</v>
      </c>
      <c r="K92" s="256">
        <f t="shared" si="23"/>
        <v>852195957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204214095</v>
      </c>
      <c r="D95" s="260">
        <f aca="true" t="shared" si="24" ref="D95:K95">+D96+D97+D98+D99+D100+D113</f>
        <v>6566779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6566779</v>
      </c>
      <c r="K95" s="263">
        <f t="shared" si="24"/>
        <v>210780874</v>
      </c>
    </row>
    <row r="96" spans="1:11" ht="12" customHeight="1">
      <c r="A96" s="160" t="s">
        <v>58</v>
      </c>
      <c r="B96" s="7" t="s">
        <v>32</v>
      </c>
      <c r="C96" s="465">
        <v>23047053</v>
      </c>
      <c r="D96" s="261">
        <v>-2307325</v>
      </c>
      <c r="E96" s="261"/>
      <c r="F96" s="261"/>
      <c r="G96" s="261"/>
      <c r="H96" s="261"/>
      <c r="I96" s="185"/>
      <c r="J96" s="276">
        <f aca="true" t="shared" si="25" ref="J96:J115">D96+E96+F96+G96+H96+I96</f>
        <v>-2307325</v>
      </c>
      <c r="K96" s="264">
        <f aca="true" t="shared" si="26" ref="K96:K115">C96+J96</f>
        <v>20739728</v>
      </c>
    </row>
    <row r="97" spans="1:11" ht="12" customHeight="1">
      <c r="A97" s="153" t="s">
        <v>59</v>
      </c>
      <c r="B97" s="5" t="s">
        <v>101</v>
      </c>
      <c r="C97" s="462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6">
        <v>50872013</v>
      </c>
      <c r="D98" s="128">
        <v>8047896</v>
      </c>
      <c r="E98" s="128"/>
      <c r="F98" s="128"/>
      <c r="G98" s="128"/>
      <c r="H98" s="126"/>
      <c r="I98" s="128"/>
      <c r="J98" s="278">
        <f t="shared" si="25"/>
        <v>8047896</v>
      </c>
      <c r="K98" s="255">
        <f t="shared" si="26"/>
        <v>58919909</v>
      </c>
    </row>
    <row r="99" spans="1:11" ht="12" customHeight="1">
      <c r="A99" s="153" t="s">
        <v>61</v>
      </c>
      <c r="B99" s="8" t="s">
        <v>102</v>
      </c>
      <c r="C99" s="466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6">
        <v>76412431</v>
      </c>
      <c r="D100" s="128">
        <v>15771772</v>
      </c>
      <c r="E100" s="128"/>
      <c r="F100" s="128"/>
      <c r="G100" s="128"/>
      <c r="H100" s="128"/>
      <c r="I100" s="128"/>
      <c r="J100" s="278">
        <f t="shared" si="25"/>
        <v>15771772</v>
      </c>
      <c r="K100" s="255">
        <f t="shared" si="26"/>
        <v>92184203</v>
      </c>
    </row>
    <row r="101" spans="1:11" ht="12" customHeight="1">
      <c r="A101" s="153" t="s">
        <v>62</v>
      </c>
      <c r="B101" s="5" t="s">
        <v>354</v>
      </c>
      <c r="C101" s="466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6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6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6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6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6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6">
        <v>62389542</v>
      </c>
      <c r="D107" s="128">
        <v>15771772</v>
      </c>
      <c r="E107" s="128"/>
      <c r="F107" s="128"/>
      <c r="G107" s="128"/>
      <c r="H107" s="128"/>
      <c r="I107" s="128"/>
      <c r="J107" s="278">
        <f t="shared" si="25"/>
        <v>15771772</v>
      </c>
      <c r="K107" s="255">
        <f t="shared" si="26"/>
        <v>78161314</v>
      </c>
    </row>
    <row r="108" spans="1:11" ht="12" customHeight="1">
      <c r="A108" s="153" t="s">
        <v>104</v>
      </c>
      <c r="B108" s="49" t="s">
        <v>236</v>
      </c>
      <c r="C108" s="466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6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6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62">
        <v>300000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300000</v>
      </c>
    </row>
    <row r="113" spans="1:11" ht="12" customHeight="1">
      <c r="A113" s="153" t="s">
        <v>297</v>
      </c>
      <c r="B113" s="8" t="s">
        <v>33</v>
      </c>
      <c r="C113" s="462">
        <v>44794452</v>
      </c>
      <c r="D113" s="126">
        <v>-15011644</v>
      </c>
      <c r="E113" s="126"/>
      <c r="F113" s="126"/>
      <c r="G113" s="126"/>
      <c r="H113" s="126"/>
      <c r="I113" s="126"/>
      <c r="J113" s="277">
        <f t="shared" si="25"/>
        <v>-15011644</v>
      </c>
      <c r="K113" s="254">
        <f t="shared" si="26"/>
        <v>29782808</v>
      </c>
    </row>
    <row r="114" spans="1:11" ht="12" customHeight="1">
      <c r="A114" s="154" t="s">
        <v>298</v>
      </c>
      <c r="B114" s="5" t="s">
        <v>355</v>
      </c>
      <c r="C114" s="466">
        <v>36937651</v>
      </c>
      <c r="D114" s="128">
        <v>-15011644</v>
      </c>
      <c r="E114" s="128"/>
      <c r="F114" s="128"/>
      <c r="G114" s="128"/>
      <c r="H114" s="128"/>
      <c r="I114" s="128"/>
      <c r="J114" s="278">
        <f t="shared" si="25"/>
        <v>-15011644</v>
      </c>
      <c r="K114" s="255">
        <f t="shared" si="26"/>
        <v>21926007</v>
      </c>
    </row>
    <row r="115" spans="1:11" ht="12" customHeight="1" thickBot="1">
      <c r="A115" s="162" t="s">
        <v>299</v>
      </c>
      <c r="B115" s="52" t="s">
        <v>356</v>
      </c>
      <c r="C115" s="467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117074433</v>
      </c>
      <c r="D116" s="125">
        <f aca="true" t="shared" si="27" ref="D116:K116">+D117+D119+D121</f>
        <v>108281216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108281216</v>
      </c>
      <c r="K116" s="252">
        <f t="shared" si="27"/>
        <v>225355649</v>
      </c>
    </row>
    <row r="117" spans="1:11" ht="12" customHeight="1">
      <c r="A117" s="152" t="s">
        <v>64</v>
      </c>
      <c r="B117" s="5" t="s">
        <v>119</v>
      </c>
      <c r="C117" s="461">
        <v>114838996</v>
      </c>
      <c r="D117" s="127">
        <v>108281090</v>
      </c>
      <c r="E117" s="127"/>
      <c r="F117" s="127"/>
      <c r="G117" s="127"/>
      <c r="H117" s="127"/>
      <c r="I117" s="127"/>
      <c r="J117" s="166">
        <f aca="true" t="shared" si="28" ref="J117:J129">D117+E117+F117+G117+H117+I117</f>
        <v>108281090</v>
      </c>
      <c r="K117" s="253">
        <f aca="true" t="shared" si="29" ref="K117:K129">C117+J117</f>
        <v>223120086</v>
      </c>
    </row>
    <row r="118" spans="1:11" ht="12" customHeight="1">
      <c r="A118" s="152" t="s">
        <v>65</v>
      </c>
      <c r="B118" s="9" t="s">
        <v>245</v>
      </c>
      <c r="C118" s="461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62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8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2235437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2235563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321288528</v>
      </c>
      <c r="D130" s="125">
        <f aca="true" t="shared" si="30" ref="D130:K130">+D95+D116</f>
        <v>114847995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114847995</v>
      </c>
      <c r="K130" s="252">
        <f t="shared" si="30"/>
        <v>436136523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8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8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8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756852706</v>
      </c>
      <c r="D157" s="190">
        <f aca="true" t="shared" si="40" ref="D157:K157">+D130+D156</f>
        <v>116912826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116912826</v>
      </c>
      <c r="K157" s="267">
        <f t="shared" si="40"/>
        <v>873765532</v>
      </c>
    </row>
    <row r="158" spans="1:11" ht="13.5" thickBot="1">
      <c r="A158" s="116"/>
      <c r="B158" s="117"/>
      <c r="C158" s="418">
        <f>C92-C157</f>
        <v>-18099826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-21569575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3" manualBreakCount="3">
    <brk id="56" max="255" man="1"/>
    <brk id="93" max="255" man="1"/>
    <brk id="1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">
      <selection activeCell="E4" sqref="E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CONCATENATE("11. melléklet ",RM_ALAPADATOK!A7," ",RM_ALAPADATOK!B7," ",RM_ALAPADATOK!C7," ",RM_ALAPADATOK!D7," ",RM_ALAPADATOK!E7," ",RM_ALAPADATOK!F7," ",RM_ALAPADATOK!G7," ",RM_ALAPADATOK!H7)</f>
        <v>11.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444</v>
      </c>
      <c r="C3" s="563"/>
      <c r="D3" s="563"/>
      <c r="E3" s="563"/>
      <c r="F3" s="563"/>
      <c r="G3" s="563"/>
      <c r="H3" s="563"/>
      <c r="I3" s="564"/>
      <c r="J3" s="565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398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CONCATENATE('10.sz.mell'!K5)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549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330400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330400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62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551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552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21487595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21487595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62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62">
        <v>2500000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2500000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62">
        <v>2958568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2958568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21817995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21817995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21817995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21817995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1718169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1718169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466">
        <v>1718169</v>
      </c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1718169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>
        <v>1718169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1718169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2000000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2000000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2000000</v>
      </c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2000000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468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8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3718169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3718169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3718169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3718169</v>
      </c>
    </row>
    <row r="158" spans="1:11" ht="13.5" thickBot="1">
      <c r="A158" s="116"/>
      <c r="B158" s="117"/>
      <c r="C158" s="418">
        <f>C92-C157</f>
        <v>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3" manualBreakCount="3">
    <brk id="56" max="255" man="1"/>
    <brk id="93" max="255" man="1"/>
    <brk id="1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12">
      <selection activeCell="E4" sqref="E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CONCATENATE("12. melléklet ",RM_ALAPADATOK!A7," ",RM_ALAPADATOK!B7," ",RM_ALAPADATOK!C7," ",RM_ALAPADATOK!D7," ",RM_ALAPADATOK!E7," ",RM_ALAPADATOK!F7," ",RM_ALAPADATOK!G7," ",RM_ALAPADATOK!H7)</f>
        <v>12.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446</v>
      </c>
      <c r="C3" s="563"/>
      <c r="D3" s="563"/>
      <c r="E3" s="563"/>
      <c r="F3" s="563"/>
      <c r="G3" s="563"/>
      <c r="H3" s="563"/>
      <c r="I3" s="564"/>
      <c r="J3" s="565"/>
      <c r="K3" s="319" t="s">
        <v>287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CONCATENATE('11.sz.mell'!K5)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549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551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552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0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0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126"/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0</v>
      </c>
    </row>
    <row r="43" spans="1:11" s="42" customFormat="1" ht="12" customHeight="1">
      <c r="A43" s="153" t="s">
        <v>93</v>
      </c>
      <c r="B43" s="139" t="s">
        <v>161</v>
      </c>
      <c r="C43" s="126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126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126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0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0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0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0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0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128"/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0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/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0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126"/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0</v>
      </c>
    </row>
    <row r="122" spans="1:11" ht="12" customHeight="1">
      <c r="A122" s="152" t="s">
        <v>74</v>
      </c>
      <c r="B122" s="69" t="s">
        <v>286</v>
      </c>
      <c r="C122" s="126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126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126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126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0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0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3" manualBreakCount="3">
    <brk id="56" max="255" man="1"/>
    <brk id="93" max="255" man="1"/>
    <brk id="1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A1">
      <selection activeCell="M46" sqref="M46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CONCATENATE("13. melléklet ",RM_ALAPADATOK!A7," ",RM_ALAPADATOK!B7," ",RM_ALAPADATOK!C7," ",RM_ALAPADATOK!D7," ",RM_ALAPADATOK!E7," ",RM_ALAPADATOK!F7," ",RM_ALAPADATOK!G7," ",RM_ALAPADATOK!H7)</f>
        <v>13. melléklet a  / 2023 ( … ) önkormányzati rendelethez</v>
      </c>
    </row>
    <row r="2" spans="1:11" s="327" customFormat="1" ht="36">
      <c r="A2" s="385" t="s">
        <v>447</v>
      </c>
      <c r="B2" s="579" t="str">
        <f>RM_ALAPADATOK!B13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">
        <v>477</v>
      </c>
      <c r="C3" s="582"/>
      <c r="D3" s="582"/>
      <c r="E3" s="582"/>
      <c r="F3" s="582"/>
      <c r="G3" s="582"/>
      <c r="H3" s="582"/>
      <c r="I3" s="582"/>
      <c r="J3" s="58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CONCATENATE('12.sz.mell'!K5)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70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70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70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70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449</v>
      </c>
      <c r="C16" s="470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462</v>
      </c>
      <c r="B41" s="339" t="s">
        <v>125</v>
      </c>
      <c r="C41" s="480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463</v>
      </c>
      <c r="B42" s="340" t="s">
        <v>464</v>
      </c>
      <c r="C42" s="471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481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397727630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397793264</v>
      </c>
    </row>
    <row r="47" spans="1:11" ht="12" customHeight="1">
      <c r="A47" s="335" t="s">
        <v>58</v>
      </c>
      <c r="B47" s="6" t="s">
        <v>32</v>
      </c>
      <c r="C47" s="480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82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82">
        <v>208764880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208830514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80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400685330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405995472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CONCATENATE("14. melléklet ",RM_ALAPADATOK!A7," ",RM_ALAPADATOK!B7," ",RM_ALAPADATOK!C7," ",RM_ALAPADATOK!D7," ",RM_ALAPADATOK!E7," ",RM_ALAPADATOK!F7," ",RM_ALAPADATOK!G7," ",RM_ALAPADATOK!H7)</f>
        <v>14.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CONCATENATE('10.sz.mell'!B3:J3)</f>
        <v>Kötelező feladtok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CONCATENATE('13.sz.mell'!K5)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70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70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70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70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449</v>
      </c>
      <c r="C16" s="470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462</v>
      </c>
      <c r="B41" s="339" t="s">
        <v>125</v>
      </c>
      <c r="C41" s="480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463</v>
      </c>
      <c r="B42" s="340" t="s">
        <v>464</v>
      </c>
      <c r="C42" s="471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481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395761630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395827264</v>
      </c>
    </row>
    <row r="47" spans="1:11" ht="12" customHeight="1">
      <c r="A47" s="335" t="s">
        <v>58</v>
      </c>
      <c r="B47" s="6" t="s">
        <v>32</v>
      </c>
      <c r="C47" s="480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82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82">
        <v>206798880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206864514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80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398719330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404029472</v>
      </c>
    </row>
    <row r="59" spans="3:11" ht="13.5" customHeight="1" thickBot="1">
      <c r="C59" s="422">
        <f>C44-C58</f>
        <v>1966000</v>
      </c>
      <c r="D59" s="423"/>
      <c r="E59" s="423"/>
      <c r="F59" s="423"/>
      <c r="G59" s="423"/>
      <c r="H59" s="423"/>
      <c r="I59" s="423"/>
      <c r="J59" s="423"/>
      <c r="K59" s="418">
        <f>K44-K58</f>
        <v>1966000</v>
      </c>
    </row>
    <row r="60" spans="1:11" ht="12.75" customHeight="1" thickBot="1">
      <c r="A60" s="64" t="s">
        <v>362</v>
      </c>
      <c r="B60" s="65"/>
      <c r="C60" s="382">
        <v>33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33</v>
      </c>
    </row>
    <row r="61" spans="1:11" ht="12.75" customHeight="1" thickBot="1">
      <c r="A61" s="64" t="s">
        <v>116</v>
      </c>
      <c r="B61" s="65"/>
      <c r="C61" s="382">
        <v>0</v>
      </c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CONCATENATE("15. melléklet ",RM_ALAPADATOK!A7," ",RM_ALAPADATOK!B7," ",RM_ALAPADATOK!C7," ",RM_ALAPADATOK!D7," ",RM_ALAPADATOK!E7," ",RM_ALAPADATOK!F7," ",RM_ALAPADATOK!G7," ",RM_ALAPADATOK!H7)</f>
        <v>15.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CONCATENATE('11.sz.mell'!B3:J3)</f>
        <v>Önként vállalt feladatok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CONCATENATE('14.sz.mell'!K5)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462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463</v>
      </c>
      <c r="B42" s="340" t="s">
        <v>464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1966000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1966000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482">
        <v>1966000</v>
      </c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1966000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1966000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1966000</v>
      </c>
    </row>
    <row r="59" spans="3:11" ht="13.5" customHeight="1" thickBot="1">
      <c r="C59" s="422">
        <f>C44-C58</f>
        <v>-1966000</v>
      </c>
      <c r="D59" s="423"/>
      <c r="E59" s="423"/>
      <c r="F59" s="423"/>
      <c r="G59" s="423"/>
      <c r="H59" s="423"/>
      <c r="I59" s="423"/>
      <c r="J59" s="423"/>
      <c r="K59" s="418">
        <f>K44-K58</f>
        <v>-1966000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I27" sqref="I2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29" t="s">
        <v>433</v>
      </c>
      <c r="B2" s="529"/>
      <c r="C2" s="529"/>
      <c r="D2" s="529"/>
      <c r="E2" s="529"/>
      <c r="F2" s="529"/>
      <c r="G2" s="529"/>
      <c r="H2" s="529"/>
      <c r="I2" s="529"/>
    </row>
    <row r="3" spans="1:7" ht="15.75">
      <c r="A3" s="526" t="s">
        <v>546</v>
      </c>
      <c r="B3" s="526"/>
      <c r="C3" s="526"/>
      <c r="D3" s="526"/>
      <c r="E3" s="526"/>
      <c r="F3" s="526"/>
      <c r="G3" s="526"/>
    </row>
    <row r="6" ht="15">
      <c r="A6" s="298" t="s">
        <v>500</v>
      </c>
    </row>
    <row r="7" spans="1:10" ht="12.75">
      <c r="A7" s="426" t="s">
        <v>481</v>
      </c>
      <c r="B7" s="424"/>
      <c r="C7" s="427" t="s">
        <v>483</v>
      </c>
      <c r="D7" s="427">
        <v>2023</v>
      </c>
      <c r="E7" s="427" t="s">
        <v>484</v>
      </c>
      <c r="F7" s="424" t="s">
        <v>482</v>
      </c>
      <c r="G7" s="427" t="s">
        <v>485</v>
      </c>
      <c r="H7" s="427" t="s">
        <v>486</v>
      </c>
      <c r="I7" s="427"/>
      <c r="J7" s="427"/>
    </row>
    <row r="11" spans="1:7" ht="15.75">
      <c r="A11" s="524" t="s">
        <v>546</v>
      </c>
      <c r="B11" s="525"/>
      <c r="C11" s="525"/>
      <c r="D11" s="525"/>
      <c r="E11" s="525"/>
      <c r="F11" s="525"/>
      <c r="G11" s="525"/>
    </row>
    <row r="13" spans="1:9" ht="14.25">
      <c r="A13" s="299" t="s">
        <v>434</v>
      </c>
      <c r="B13" s="527" t="s">
        <v>547</v>
      </c>
      <c r="C13" s="528"/>
      <c r="D13" s="528"/>
      <c r="E13" s="528"/>
      <c r="F13" s="528"/>
      <c r="G13" s="528"/>
      <c r="H13" s="528"/>
      <c r="I13" s="528"/>
    </row>
    <row r="14" spans="2:9" ht="14.25">
      <c r="B14" s="428"/>
      <c r="C14" s="425"/>
      <c r="D14" s="425"/>
      <c r="E14" s="425"/>
      <c r="F14" s="425"/>
      <c r="G14" s="425"/>
      <c r="H14" s="425"/>
      <c r="I14" s="425"/>
    </row>
    <row r="15" spans="1:9" ht="14.25">
      <c r="A15" s="299" t="s">
        <v>435</v>
      </c>
      <c r="B15" s="527" t="s">
        <v>548</v>
      </c>
      <c r="C15" s="528"/>
      <c r="D15" s="528"/>
      <c r="E15" s="528"/>
      <c r="F15" s="528"/>
      <c r="G15" s="528"/>
      <c r="H15" s="528"/>
      <c r="I15" s="528"/>
    </row>
    <row r="16" spans="2:9" ht="14.25">
      <c r="B16" s="428"/>
      <c r="C16" s="425"/>
      <c r="D16" s="425"/>
      <c r="E16" s="425"/>
      <c r="F16" s="425"/>
      <c r="G16" s="425"/>
      <c r="H16" s="425"/>
      <c r="I16" s="425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A1">
      <selection activeCell="M9" sqref="M9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CONCATENATE(". melléklet ",RM_ALAPADATOK!A7," ",RM_ALAPADATOK!B7," ",RM_ALAPADATOK!C7," ",RM_ALAPADATOK!D7," ",RM_ALAPADATOK!E7," ",RM_ALAPADATOK!F7," ",RM_ALAPADATOK!G7," ",RM_ALAPADATOK!H7)</f>
        <v>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CONCATENATE('12.sz.mell'!B3:J3)</f>
        <v>Államigazgatási feladatok 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CONCATENATE('15.sz.mell'!K5)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462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463</v>
      </c>
      <c r="B42" s="340" t="s">
        <v>464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0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view="pageBreakPreview" zoomScale="60" zoomScaleNormal="120" workbookViewId="0" topLeftCell="A1">
      <selection activeCell="R89" sqref="R89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CONCATENATE("17. melléklet ",RM_ALAPADATOK!A7," ",RM_ALAPADATOK!B7," ",RM_ALAPADATOK!C7," ",RM_ALAPADATOK!D7," ",RM_ALAPADATOK!E7," ",RM_ALAPADATOK!F7," ",RM_ALAPADATOK!G7," ",RM_ALAPADATOK!H7)</f>
        <v>17. melléklet a  / 2023 ( … ) önkormányzati rendelethez</v>
      </c>
    </row>
    <row r="2" spans="1:11" s="327" customFormat="1" ht="36">
      <c r="A2" s="385" t="s">
        <v>447</v>
      </c>
      <c r="B2" s="579" t="str">
        <f>CONCATENATE(RM_ALAPADATOK!B15)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">
        <v>477</v>
      </c>
      <c r="C3" s="582"/>
      <c r="D3" s="582"/>
      <c r="E3" s="582"/>
      <c r="F3" s="582"/>
      <c r="G3" s="582"/>
      <c r="H3" s="582"/>
      <c r="I3" s="582"/>
      <c r="J3" s="58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CONCATENATE('16.sz.mell'!K5)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462</v>
      </c>
      <c r="B40" s="339" t="s">
        <v>125</v>
      </c>
      <c r="C40" s="480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463</v>
      </c>
      <c r="B41" s="340" t="s">
        <v>464</v>
      </c>
      <c r="C41" s="471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481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80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82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82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CONCATENATE("18. melléklet ",RM_ALAPADATOK!A7," ",RM_ALAPADATOK!B7," ",RM_ALAPADATOK!C7," ",RM_ALAPADATOK!D7," ",RM_ALAPADATOK!E7," ",RM_ALAPADATOK!F7," ",RM_ALAPADATOK!G7," ",RM_ALAPADATOK!H7)</f>
        <v>18. melléklet a  / 2023 ( … ) önkormányzati rendelethez</v>
      </c>
    </row>
    <row r="2" spans="1:11" s="327" customFormat="1" ht="36">
      <c r="A2" s="385" t="s">
        <v>447</v>
      </c>
      <c r="B2" s="579" t="str">
        <f>CONCATENATE('17.sz.mell'!B2:J2)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CONCATENATE('10.sz.mell'!B3:J3)</f>
        <v>Kötelező feladtok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CONCATENATE('17.sz.mell'!K5)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462</v>
      </c>
      <c r="B40" s="339" t="s">
        <v>125</v>
      </c>
      <c r="C40" s="480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463</v>
      </c>
      <c r="B41" s="340" t="s">
        <v>464</v>
      </c>
      <c r="C41" s="471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481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80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82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82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CONCATENATE("19. melléklet ",RM_ALAPADATOK!A7," ",RM_ALAPADATOK!B7," ",RM_ALAPADATOK!C7," ",RM_ALAPADATOK!D7," ",RM_ALAPADATOK!E7," ",RM_ALAPADATOK!F7," ",RM_ALAPADATOK!G7," ",RM_ALAPADATOK!H7)</f>
        <v>19. melléklet a  / 2023 ( … ) önkormányzati rendelethez</v>
      </c>
    </row>
    <row r="2" spans="1:11" s="327" customFormat="1" ht="36">
      <c r="A2" s="385" t="s">
        <v>447</v>
      </c>
      <c r="B2" s="579" t="str">
        <f>CONCATENATE('18.sz.mell'!B2:J2)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CONCATENATE('11.sz.mell'!B3:J3)</f>
        <v>Önként vállalt feladatok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CONCATENATE('18.sz.mell'!K5)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462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463</v>
      </c>
      <c r="B41" s="340" t="s">
        <v>464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view="pageBreakPreview" zoomScale="60" zoomScaleNormal="120" workbookViewId="0" topLeftCell="A1">
      <selection activeCell="K1" sqref="K1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CONCATENATE("20. melléklet ",RM_ALAPADATOK!A7," ",RM_ALAPADATOK!B7," ",RM_ALAPADATOK!C7," ",RM_ALAPADATOK!D7," ",RM_ALAPADATOK!E7," ",RM_ALAPADATOK!F7," ",RM_ALAPADATOK!G7," ",RM_ALAPADATOK!H7)</f>
        <v>20. melléklet a  / 2023 ( … ) önkormányzati rendelethez</v>
      </c>
    </row>
    <row r="2" spans="1:11" s="327" customFormat="1" ht="36">
      <c r="A2" s="385" t="s">
        <v>447</v>
      </c>
      <c r="B2" s="579" t="str">
        <f>CONCATENATE('19.sz.mell'!B2:J2)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CONCATENATE('12.sz.mell'!B3:J3)</f>
        <v>Államigazgatási feladatok 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CONCATENATE('19.sz.mell'!K5)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462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463</v>
      </c>
      <c r="B41" s="340" t="s">
        <v>464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zoomScalePageLayoutView="0" workbookViewId="0" topLeftCell="A1">
      <selection activeCell="G14" sqref="G14"/>
    </sheetView>
  </sheetViews>
  <sheetFormatPr defaultColWidth="9.00390625" defaultRowHeight="12.75"/>
  <cols>
    <col min="1" max="1" width="5.875" style="492" customWidth="1"/>
    <col min="2" max="2" width="54.875" style="1" customWidth="1"/>
    <col min="3" max="4" width="17.625" style="1" customWidth="1"/>
    <col min="5" max="16384" width="9.375" style="1" customWidth="1"/>
  </cols>
  <sheetData>
    <row r="1" ht="14.25" customHeight="1">
      <c r="D1" s="493" t="s">
        <v>633</v>
      </c>
    </row>
    <row r="3" spans="2:4" ht="31.5" customHeight="1">
      <c r="B3" s="588" t="s">
        <v>613</v>
      </c>
      <c r="C3" s="588"/>
      <c r="D3" s="588"/>
    </row>
    <row r="4" spans="1:4" s="496" customFormat="1" ht="16.5" thickBot="1">
      <c r="A4" s="494"/>
      <c r="B4" s="495"/>
      <c r="D4" s="497" t="str">
        <f>'[1]KV_27.sz.mell'!I2</f>
        <v>Forintban!</v>
      </c>
    </row>
    <row r="5" spans="1:4" s="501" customFormat="1" ht="48" customHeight="1" thickBot="1">
      <c r="A5" s="498" t="s">
        <v>614</v>
      </c>
      <c r="B5" s="499" t="s">
        <v>2</v>
      </c>
      <c r="C5" s="499" t="s">
        <v>615</v>
      </c>
      <c r="D5" s="500" t="s">
        <v>616</v>
      </c>
    </row>
    <row r="6" spans="1:4" s="501" customFormat="1" ht="13.5" customHeight="1" thickBot="1">
      <c r="A6" s="502" t="s">
        <v>341</v>
      </c>
      <c r="B6" s="503" t="s">
        <v>342</v>
      </c>
      <c r="C6" s="503" t="s">
        <v>343</v>
      </c>
      <c r="D6" s="504" t="s">
        <v>345</v>
      </c>
    </row>
    <row r="7" spans="1:4" ht="18" customHeight="1">
      <c r="A7" s="505" t="s">
        <v>3</v>
      </c>
      <c r="B7" s="506" t="s">
        <v>617</v>
      </c>
      <c r="C7" s="507"/>
      <c r="D7" s="480"/>
    </row>
    <row r="8" spans="1:4" ht="18" customHeight="1">
      <c r="A8" s="508" t="s">
        <v>4</v>
      </c>
      <c r="B8" s="509" t="s">
        <v>618</v>
      </c>
      <c r="C8" s="510"/>
      <c r="D8" s="482"/>
    </row>
    <row r="9" spans="1:4" ht="18" customHeight="1">
      <c r="A9" s="508" t="s">
        <v>5</v>
      </c>
      <c r="B9" s="509" t="s">
        <v>619</v>
      </c>
      <c r="C9" s="510"/>
      <c r="D9" s="482"/>
    </row>
    <row r="10" spans="1:4" ht="18" customHeight="1">
      <c r="A10" s="508" t="s">
        <v>6</v>
      </c>
      <c r="B10" s="509" t="s">
        <v>620</v>
      </c>
      <c r="C10" s="510"/>
      <c r="D10" s="482"/>
    </row>
    <row r="11" spans="1:4" ht="18" customHeight="1">
      <c r="A11" s="508" t="s">
        <v>7</v>
      </c>
      <c r="B11" s="509" t="s">
        <v>621</v>
      </c>
      <c r="C11" s="510">
        <v>261873176</v>
      </c>
      <c r="D11" s="482">
        <v>42718709</v>
      </c>
    </row>
    <row r="12" spans="1:4" ht="18" customHeight="1">
      <c r="A12" s="508" t="s">
        <v>8</v>
      </c>
      <c r="B12" s="509" t="s">
        <v>622</v>
      </c>
      <c r="C12" s="510">
        <v>219265482</v>
      </c>
      <c r="D12" s="482">
        <v>40428183</v>
      </c>
    </row>
    <row r="13" spans="1:4" ht="18" customHeight="1">
      <c r="A13" s="508" t="s">
        <v>9</v>
      </c>
      <c r="B13" s="511" t="s">
        <v>623</v>
      </c>
      <c r="C13" s="510">
        <v>42475694</v>
      </c>
      <c r="D13" s="482">
        <v>2290526</v>
      </c>
    </row>
    <row r="14" spans="1:4" ht="18" customHeight="1">
      <c r="A14" s="508" t="s">
        <v>11</v>
      </c>
      <c r="B14" s="511" t="s">
        <v>624</v>
      </c>
      <c r="C14" s="510">
        <v>132000</v>
      </c>
      <c r="D14" s="482">
        <v>0</v>
      </c>
    </row>
    <row r="15" spans="1:4" ht="18" customHeight="1">
      <c r="A15" s="508" t="s">
        <v>12</v>
      </c>
      <c r="B15" s="511" t="s">
        <v>625</v>
      </c>
      <c r="C15" s="510"/>
      <c r="D15" s="482"/>
    </row>
    <row r="16" spans="1:4" ht="18" customHeight="1">
      <c r="A16" s="508" t="s">
        <v>13</v>
      </c>
      <c r="B16" s="511" t="s">
        <v>626</v>
      </c>
      <c r="C16" s="510"/>
      <c r="D16" s="482"/>
    </row>
    <row r="17" spans="1:4" ht="22.5" customHeight="1">
      <c r="A17" s="508" t="s">
        <v>14</v>
      </c>
      <c r="B17" s="511" t="s">
        <v>627</v>
      </c>
      <c r="C17" s="510"/>
      <c r="D17" s="482"/>
    </row>
    <row r="18" spans="1:4" ht="18" customHeight="1">
      <c r="A18" s="508" t="s">
        <v>15</v>
      </c>
      <c r="B18" s="509" t="s">
        <v>628</v>
      </c>
      <c r="C18" s="510"/>
      <c r="D18" s="482"/>
    </row>
    <row r="19" spans="1:4" ht="18" customHeight="1">
      <c r="A19" s="508" t="s">
        <v>16</v>
      </c>
      <c r="B19" s="509" t="s">
        <v>629</v>
      </c>
      <c r="C19" s="510"/>
      <c r="D19" s="482"/>
    </row>
    <row r="20" spans="1:4" ht="18" customHeight="1">
      <c r="A20" s="508" t="s">
        <v>17</v>
      </c>
      <c r="B20" s="509" t="s">
        <v>630</v>
      </c>
      <c r="C20" s="510"/>
      <c r="D20" s="482"/>
    </row>
    <row r="21" spans="1:4" ht="18" customHeight="1">
      <c r="A21" s="508" t="s">
        <v>18</v>
      </c>
      <c r="B21" s="509" t="s">
        <v>631</v>
      </c>
      <c r="C21" s="510"/>
      <c r="D21" s="482"/>
    </row>
    <row r="22" spans="1:4" ht="18" customHeight="1">
      <c r="A22" s="508" t="s">
        <v>19</v>
      </c>
      <c r="B22" s="509" t="s">
        <v>632</v>
      </c>
      <c r="C22" s="510"/>
      <c r="D22" s="482"/>
    </row>
    <row r="23" spans="1:4" ht="18" customHeight="1">
      <c r="A23" s="508" t="s">
        <v>20</v>
      </c>
      <c r="B23" s="512"/>
      <c r="C23" s="40"/>
      <c r="D23" s="482"/>
    </row>
    <row r="24" spans="1:4" ht="18" customHeight="1">
      <c r="A24" s="508" t="s">
        <v>21</v>
      </c>
      <c r="B24" s="513"/>
      <c r="C24" s="40"/>
      <c r="D24" s="482"/>
    </row>
    <row r="25" spans="1:4" ht="18" customHeight="1">
      <c r="A25" s="508" t="s">
        <v>22</v>
      </c>
      <c r="B25" s="513"/>
      <c r="C25" s="40"/>
      <c r="D25" s="482"/>
    </row>
    <row r="26" spans="1:4" ht="18" customHeight="1">
      <c r="A26" s="508" t="s">
        <v>23</v>
      </c>
      <c r="B26" s="513"/>
      <c r="C26" s="40"/>
      <c r="D26" s="482"/>
    </row>
    <row r="27" spans="1:4" ht="18" customHeight="1">
      <c r="A27" s="508" t="s">
        <v>24</v>
      </c>
      <c r="B27" s="513"/>
      <c r="C27" s="40"/>
      <c r="D27" s="482"/>
    </row>
    <row r="28" spans="1:4" ht="18" customHeight="1">
      <c r="A28" s="508" t="s">
        <v>25</v>
      </c>
      <c r="B28" s="513"/>
      <c r="C28" s="40"/>
      <c r="D28" s="482"/>
    </row>
    <row r="29" spans="1:4" ht="18" customHeight="1">
      <c r="A29" s="508" t="s">
        <v>26</v>
      </c>
      <c r="B29" s="513"/>
      <c r="C29" s="40"/>
      <c r="D29" s="482"/>
    </row>
    <row r="30" spans="1:4" ht="18" customHeight="1">
      <c r="A30" s="508" t="s">
        <v>27</v>
      </c>
      <c r="B30" s="513"/>
      <c r="C30" s="40"/>
      <c r="D30" s="482"/>
    </row>
    <row r="31" spans="1:4" ht="18" customHeight="1" thickBot="1">
      <c r="A31" s="514" t="s">
        <v>28</v>
      </c>
      <c r="B31" s="515"/>
      <c r="C31" s="516"/>
      <c r="D31" s="481"/>
    </row>
    <row r="32" spans="1:4" ht="18" customHeight="1" thickBot="1">
      <c r="A32" s="517" t="s">
        <v>29</v>
      </c>
      <c r="B32" s="518" t="s">
        <v>507</v>
      </c>
      <c r="C32" s="519">
        <f>+C7+C8+C9+C10+C11+C18+C19+C20+C21+C22+C23+C24+C25+C26+C27+C28+C29+C30+C31</f>
        <v>261873176</v>
      </c>
      <c r="D32" s="520">
        <f>+D7+D8+D9+D10+D11+D18+D19+D20+D21+D22+D23+D24+D25+D26+D27+D28+D29+D30+D31</f>
        <v>42718709</v>
      </c>
    </row>
    <row r="33" spans="1:4" ht="8.25" customHeight="1">
      <c r="A33" s="521"/>
      <c r="B33" s="589"/>
      <c r="C33" s="589"/>
      <c r="D33" s="589"/>
    </row>
  </sheetData>
  <sheetProtection/>
  <mergeCells count="2">
    <mergeCell ref="B3:D3"/>
    <mergeCell ref="B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tabSelected="1" view="pageBreakPreview" zoomScale="130" zoomScaleNormal="120" zoomScaleSheetLayoutView="130" zoomScalePageLayoutView="120" workbookViewId="0" topLeftCell="A1">
      <selection activeCell="E23" sqref="E23"/>
    </sheetView>
  </sheetViews>
  <sheetFormatPr defaultColWidth="9.00390625" defaultRowHeight="12.75"/>
  <cols>
    <col min="1" max="1" width="9.375" style="442" customWidth="1"/>
    <col min="2" max="2" width="88.625" style="442" customWidth="1"/>
    <col min="3" max="3" width="15.875" style="442" customWidth="1"/>
    <col min="4" max="4" width="16.875" style="442" customWidth="1"/>
    <col min="5" max="5" width="4.875" style="458" customWidth="1"/>
    <col min="6" max="16384" width="9.375" style="442" customWidth="1"/>
  </cols>
  <sheetData>
    <row r="1" spans="2:5" ht="47.25" customHeight="1">
      <c r="B1" s="590" t="str">
        <f>+CONCATENATE("A ",RM_ALAPADATOK!D7,". évi általános működés és ágazati feladatok támogatásának alakulása jogcímenként")</f>
        <v>A 2023. évi általános működés és ágazati feladatok támogatásának alakulása jogcímenként</v>
      </c>
      <c r="C1" s="590"/>
      <c r="D1" s="590"/>
      <c r="E1" s="591" t="str">
        <f>CONCATENATE("22. melléklet ",RM_ALAPADATOK!A7," ",RM_ALAPADATOK!B7," ",RM_ALAPADATOK!C7," ",RM_ALAPADATOK!D7," ",RM_ALAPADATOK!E7," ",RM_ALAPADATOK!F7," ",RM_ALAPADATOK!G7," ",RM_ALAPADATOK!H7)</f>
        <v>22. melléklet a  / 2023 ( … ) önkormányzati rendelethez</v>
      </c>
    </row>
    <row r="2" spans="2:5" ht="22.5" customHeight="1" thickBot="1">
      <c r="B2" s="443"/>
      <c r="C2" s="443"/>
      <c r="D2" s="444" t="s">
        <v>504</v>
      </c>
      <c r="E2" s="591"/>
    </row>
    <row r="3" spans="1:5" s="447" customFormat="1" ht="54" customHeight="1" thickBot="1">
      <c r="A3" s="483"/>
      <c r="B3" s="445" t="s">
        <v>505</v>
      </c>
      <c r="C3" s="446" t="str">
        <f>+CONCATENATE(RM_ALAPADATOK!D7,". évi tervezett támogatás összesen")</f>
        <v>2023. évi tervezett támogatás összesen</v>
      </c>
      <c r="D3" s="446" t="s">
        <v>506</v>
      </c>
      <c r="E3" s="591"/>
    </row>
    <row r="4" spans="1:5" s="451" customFormat="1" ht="13.5" thickBot="1">
      <c r="A4" s="484"/>
      <c r="B4" s="448" t="s">
        <v>342</v>
      </c>
      <c r="C4" s="449"/>
      <c r="D4" s="450" t="s">
        <v>343</v>
      </c>
      <c r="E4" s="591"/>
    </row>
    <row r="5" spans="1:5" ht="12.75">
      <c r="A5" s="485" t="s">
        <v>575</v>
      </c>
      <c r="B5" s="453" t="s">
        <v>576</v>
      </c>
      <c r="C5" s="452">
        <v>7389200</v>
      </c>
      <c r="D5" s="452">
        <v>7389200</v>
      </c>
      <c r="E5" s="591"/>
    </row>
    <row r="6" spans="1:5" ht="12.75" customHeight="1">
      <c r="A6" s="485" t="s">
        <v>577</v>
      </c>
      <c r="B6" s="453" t="s">
        <v>578</v>
      </c>
      <c r="C6" s="452">
        <v>12495500</v>
      </c>
      <c r="D6" s="452">
        <v>12495500</v>
      </c>
      <c r="E6" s="591"/>
    </row>
    <row r="7" spans="1:5" ht="12.75">
      <c r="A7" s="485" t="s">
        <v>579</v>
      </c>
      <c r="B7" s="453" t="s">
        <v>580</v>
      </c>
      <c r="C7" s="452">
        <v>100000</v>
      </c>
      <c r="D7" s="452">
        <v>100000</v>
      </c>
      <c r="E7" s="591"/>
    </row>
    <row r="8" spans="1:5" ht="12.75">
      <c r="A8" s="485" t="s">
        <v>581</v>
      </c>
      <c r="B8" s="453" t="s">
        <v>582</v>
      </c>
      <c r="C8" s="452">
        <v>5511030</v>
      </c>
      <c r="D8" s="452">
        <v>5511030</v>
      </c>
      <c r="E8" s="591"/>
    </row>
    <row r="9" spans="1:5" ht="12.75">
      <c r="A9" s="485" t="s">
        <v>583</v>
      </c>
      <c r="B9" s="453" t="s">
        <v>584</v>
      </c>
      <c r="C9" s="452">
        <v>4800000</v>
      </c>
      <c r="D9" s="452">
        <v>4800000</v>
      </c>
      <c r="E9" s="591"/>
    </row>
    <row r="10" spans="1:5" ht="12.75">
      <c r="A10" s="485" t="s">
        <v>585</v>
      </c>
      <c r="B10" s="453" t="s">
        <v>586</v>
      </c>
      <c r="C10" s="452">
        <v>306000</v>
      </c>
      <c r="D10" s="452">
        <v>306000</v>
      </c>
      <c r="E10" s="591"/>
    </row>
    <row r="11" spans="1:5" ht="12.75">
      <c r="A11" s="485" t="s">
        <v>579</v>
      </c>
      <c r="B11" s="453" t="s">
        <v>587</v>
      </c>
      <c r="C11" s="452">
        <v>3915653</v>
      </c>
      <c r="D11" s="452">
        <v>3915653</v>
      </c>
      <c r="E11" s="591"/>
    </row>
    <row r="12" spans="1:5" ht="12.75">
      <c r="A12" s="485" t="s">
        <v>581</v>
      </c>
      <c r="B12" s="453" t="s">
        <v>588</v>
      </c>
      <c r="C12" s="452">
        <v>4870000</v>
      </c>
      <c r="D12" s="452">
        <v>4870000</v>
      </c>
      <c r="E12" s="591"/>
    </row>
    <row r="13" spans="1:5" ht="12.75" customHeight="1">
      <c r="A13" s="485" t="s">
        <v>589</v>
      </c>
      <c r="B13" s="453" t="s">
        <v>590</v>
      </c>
      <c r="C13" s="452">
        <v>5446667</v>
      </c>
      <c r="D13" s="452">
        <v>5446667</v>
      </c>
      <c r="E13" s="591"/>
    </row>
    <row r="14" spans="1:5" ht="12.75">
      <c r="A14" s="485"/>
      <c r="B14" s="453" t="s">
        <v>591</v>
      </c>
      <c r="C14" s="452">
        <v>2723333</v>
      </c>
      <c r="D14" s="452">
        <v>2723333</v>
      </c>
      <c r="E14" s="591"/>
    </row>
    <row r="15" spans="1:5" ht="12.75">
      <c r="A15" s="485" t="s">
        <v>592</v>
      </c>
      <c r="B15" s="486" t="s">
        <v>593</v>
      </c>
      <c r="C15" s="452">
        <v>31353867</v>
      </c>
      <c r="D15" s="452">
        <v>27182613</v>
      </c>
      <c r="E15" s="591"/>
    </row>
    <row r="16" spans="1:5" ht="12.75">
      <c r="A16" s="485"/>
      <c r="B16" s="486" t="s">
        <v>594</v>
      </c>
      <c r="C16" s="452">
        <v>15676933</v>
      </c>
      <c r="D16" s="452">
        <v>13591307</v>
      </c>
      <c r="E16" s="591"/>
    </row>
    <row r="17" spans="1:5" ht="12.75">
      <c r="A17" s="487" t="s">
        <v>595</v>
      </c>
      <c r="B17" s="453" t="s">
        <v>596</v>
      </c>
      <c r="C17" s="452">
        <v>2952400</v>
      </c>
      <c r="D17" s="452">
        <v>2583350</v>
      </c>
      <c r="E17" s="591"/>
    </row>
    <row r="18" spans="1:5" ht="12.75">
      <c r="A18" s="487" t="s">
        <v>597</v>
      </c>
      <c r="B18" s="453" t="s">
        <v>598</v>
      </c>
      <c r="C18" s="452">
        <v>5142300</v>
      </c>
      <c r="D18" s="452">
        <v>5142300</v>
      </c>
      <c r="E18" s="591"/>
    </row>
    <row r="19" spans="1:5" ht="12.75">
      <c r="A19" s="487" t="s">
        <v>599</v>
      </c>
      <c r="B19" s="453" t="s">
        <v>600</v>
      </c>
      <c r="C19" s="452">
        <v>14095566</v>
      </c>
      <c r="D19" s="452">
        <v>14095566</v>
      </c>
      <c r="E19" s="591"/>
    </row>
    <row r="20" spans="1:5" ht="12.75">
      <c r="A20" s="487" t="s">
        <v>601</v>
      </c>
      <c r="B20" s="453" t="s">
        <v>602</v>
      </c>
      <c r="C20" s="452">
        <v>16903448</v>
      </c>
      <c r="D20" s="452">
        <v>16903448</v>
      </c>
      <c r="E20" s="591"/>
    </row>
    <row r="21" spans="1:5" ht="13.5" thickBot="1">
      <c r="A21" s="487" t="s">
        <v>603</v>
      </c>
      <c r="B21" s="453" t="s">
        <v>604</v>
      </c>
      <c r="C21" s="452">
        <v>3259749</v>
      </c>
      <c r="D21" s="452">
        <v>3259749</v>
      </c>
      <c r="E21" s="591"/>
    </row>
    <row r="22" spans="1:5" s="457" customFormat="1" ht="19.5" customHeight="1" thickBot="1">
      <c r="A22" s="454"/>
      <c r="B22" s="455" t="s">
        <v>507</v>
      </c>
      <c r="C22" s="491">
        <f>SUM(C5:C21)</f>
        <v>136941646</v>
      </c>
      <c r="D22" s="456">
        <f>SUM(D5:D21)</f>
        <v>130315716</v>
      </c>
      <c r="E22" s="591"/>
    </row>
    <row r="23" ht="12.75">
      <c r="B23" s="459"/>
    </row>
  </sheetData>
  <sheetProtection/>
  <mergeCells count="2">
    <mergeCell ref="B1:D1"/>
    <mergeCell ref="E1:E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25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418</v>
      </c>
      <c r="B1" s="59"/>
    </row>
    <row r="2" spans="1:2" ht="12.75">
      <c r="A2" s="59"/>
      <c r="B2" s="59"/>
    </row>
    <row r="3" spans="1:2" ht="12.75">
      <c r="A3" s="210"/>
      <c r="B3" s="210"/>
    </row>
    <row r="4" spans="1:2" ht="15.75">
      <c r="A4" s="61"/>
      <c r="B4" s="214"/>
    </row>
    <row r="5" spans="1:2" ht="15.75">
      <c r="A5" s="61"/>
      <c r="B5" s="214"/>
    </row>
    <row r="6" spans="1:2" s="53" customFormat="1" ht="15.75">
      <c r="A6" s="61" t="s">
        <v>556</v>
      </c>
      <c r="B6" s="210"/>
    </row>
    <row r="7" spans="1:2" s="53" customFormat="1" ht="12.75">
      <c r="A7" s="210"/>
      <c r="B7" s="210"/>
    </row>
    <row r="8" spans="1:2" s="53" customFormat="1" ht="12.75">
      <c r="A8" s="210"/>
      <c r="B8" s="210"/>
    </row>
    <row r="9" spans="1:2" ht="12.75">
      <c r="A9" s="210" t="s">
        <v>389</v>
      </c>
      <c r="B9" s="210" t="s">
        <v>369</v>
      </c>
    </row>
    <row r="10" spans="1:2" ht="12.75">
      <c r="A10" s="210" t="s">
        <v>387</v>
      </c>
      <c r="B10" s="210" t="s">
        <v>375</v>
      </c>
    </row>
    <row r="11" spans="1:2" ht="12.75">
      <c r="A11" s="210" t="s">
        <v>388</v>
      </c>
      <c r="B11" s="210" t="s">
        <v>376</v>
      </c>
    </row>
    <row r="12" spans="1:2" ht="12.75">
      <c r="A12" s="210"/>
      <c r="B12" s="210"/>
    </row>
    <row r="13" spans="1:2" ht="15.75">
      <c r="A13" s="61" t="str">
        <f>+CONCATENATE(LEFT(A6,4),". évi előirányzat módosítások BEVÉTELEK")</f>
        <v>2023. évi előirányzat módosítások BEVÉTELEK</v>
      </c>
      <c r="B13" s="214"/>
    </row>
    <row r="14" spans="1:2" ht="12.75">
      <c r="A14" s="210"/>
      <c r="B14" s="210"/>
    </row>
    <row r="15" spans="1:2" s="53" customFormat="1" ht="12.75">
      <c r="A15" s="210" t="s">
        <v>390</v>
      </c>
      <c r="B15" s="210" t="s">
        <v>370</v>
      </c>
    </row>
    <row r="16" spans="1:2" ht="12.75">
      <c r="A16" s="210" t="s">
        <v>391</v>
      </c>
      <c r="B16" s="210" t="s">
        <v>377</v>
      </c>
    </row>
    <row r="17" spans="1:2" ht="12.75">
      <c r="A17" s="210" t="s">
        <v>392</v>
      </c>
      <c r="B17" s="210" t="s">
        <v>378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2023.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393</v>
      </c>
      <c r="B21" s="210" t="s">
        <v>371</v>
      </c>
    </row>
    <row r="22" spans="1:2" ht="12.75">
      <c r="A22" s="210" t="s">
        <v>394</v>
      </c>
      <c r="B22" s="210" t="s">
        <v>379</v>
      </c>
    </row>
    <row r="23" spans="1:2" ht="12.75">
      <c r="A23" s="210" t="s">
        <v>395</v>
      </c>
      <c r="B23" s="210" t="s">
        <v>380</v>
      </c>
    </row>
    <row r="24" spans="1:2" ht="12.75">
      <c r="A24" s="210"/>
      <c r="B24" s="210"/>
    </row>
    <row r="25" spans="1:2" ht="15.75">
      <c r="A25" s="61" t="str">
        <f>+CONCATENATE(LEFT(A6,4),". évi eredeti előirányzat KIADÁSOK")</f>
        <v>2023.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396</v>
      </c>
      <c r="B27" s="210" t="s">
        <v>372</v>
      </c>
    </row>
    <row r="28" spans="1:2" ht="12.75">
      <c r="A28" s="210" t="s">
        <v>397</v>
      </c>
      <c r="B28" s="210" t="s">
        <v>381</v>
      </c>
    </row>
    <row r="29" spans="1:2" ht="12.75">
      <c r="A29" s="210" t="s">
        <v>398</v>
      </c>
      <c r="B29" s="210" t="s">
        <v>382</v>
      </c>
    </row>
    <row r="30" spans="1:2" ht="12.75">
      <c r="A30" s="210"/>
      <c r="B30" s="210"/>
    </row>
    <row r="31" spans="1:2" ht="15.75">
      <c r="A31" s="61" t="str">
        <f>+CONCATENATE(LEFT(A6,4),". évi előirányzat módosítások KIADÁSOK")</f>
        <v>2023.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399</v>
      </c>
      <c r="B33" s="210" t="s">
        <v>373</v>
      </c>
    </row>
    <row r="34" spans="1:2" ht="12.75">
      <c r="A34" s="210" t="s">
        <v>400</v>
      </c>
      <c r="B34" s="210" t="s">
        <v>383</v>
      </c>
    </row>
    <row r="35" spans="1:2" ht="12.75">
      <c r="A35" s="210" t="s">
        <v>401</v>
      </c>
      <c r="B35" s="210" t="s">
        <v>384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2023.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402</v>
      </c>
      <c r="B39" s="210" t="s">
        <v>374</v>
      </c>
    </row>
    <row r="40" spans="1:2" ht="12.75">
      <c r="A40" s="210" t="s">
        <v>403</v>
      </c>
      <c r="B40" s="210" t="s">
        <v>385</v>
      </c>
    </row>
    <row r="41" spans="1:2" ht="12.75">
      <c r="A41" s="210" t="s">
        <v>404</v>
      </c>
      <c r="B41" s="210" t="s">
        <v>386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">
      <selection activeCell="D115" sqref="D115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34" t="str">
        <f>CONCATENATE("1. melléklet ",RM_ALAPADATOK!A7," ",RM_ALAPADATOK!B7," ",RM_ALAPADATOK!C7," ",RM_ALAPADATOK!D7," ",RM_ALAPADATOK!E7," ",RM_ALAPADATOK!F7," ",RM_ALAPADATOK!G7," ",RM_ALAPADATOK!H7)</f>
        <v>1. melléklet a  / 2023 ( … ) önkormányzati rendelethez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36">
        <f>CONCATENATE(RM_ALAPADATOK!A4)</f>
      </c>
      <c r="B3" s="536"/>
      <c r="C3" s="537"/>
      <c r="D3" s="536"/>
      <c r="E3" s="536"/>
      <c r="F3" s="536"/>
      <c r="G3" s="536"/>
      <c r="H3" s="536"/>
      <c r="I3" s="536"/>
      <c r="J3" s="536"/>
      <c r="K3" s="536"/>
    </row>
    <row r="4" spans="1:11" ht="15.75">
      <c r="A4" s="536" t="s">
        <v>557</v>
      </c>
      <c r="B4" s="536"/>
      <c r="C4" s="537"/>
      <c r="D4" s="536"/>
      <c r="E4" s="536"/>
      <c r="F4" s="536"/>
      <c r="G4" s="536"/>
      <c r="H4" s="536"/>
      <c r="I4" s="536"/>
      <c r="J4" s="536"/>
      <c r="K4" s="53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30" t="s">
        <v>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5.75" customHeight="1" thickBot="1">
      <c r="A7" s="532" t="s">
        <v>81</v>
      </c>
      <c r="B7" s="53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9" t="s">
        <v>46</v>
      </c>
      <c r="B8" s="541" t="s">
        <v>2</v>
      </c>
      <c r="C8" s="543" t="str">
        <f>+CONCATENATE(LEFT(RM_ÖSSZEFÜGGÉSEK!A6,4),". évi")</f>
        <v>2023. évi</v>
      </c>
      <c r="D8" s="544"/>
      <c r="E8" s="545"/>
      <c r="F8" s="545"/>
      <c r="G8" s="545"/>
      <c r="H8" s="545"/>
      <c r="I8" s="545"/>
      <c r="J8" s="545"/>
      <c r="K8" s="546"/>
    </row>
    <row r="9" spans="1:11" ht="30.75" customHeight="1" thickBot="1">
      <c r="A9" s="540"/>
      <c r="B9" s="542"/>
      <c r="C9" s="283" t="s">
        <v>365</v>
      </c>
      <c r="D9" s="303" t="s">
        <v>501</v>
      </c>
      <c r="E9" s="303" t="s">
        <v>502</v>
      </c>
      <c r="F9" s="303" t="s">
        <v>478</v>
      </c>
      <c r="G9" s="303" t="s">
        <v>479</v>
      </c>
      <c r="H9" s="303" t="s">
        <v>503</v>
      </c>
      <c r="I9" s="303" t="s">
        <v>480</v>
      </c>
      <c r="J9" s="304" t="s">
        <v>430</v>
      </c>
      <c r="K9" s="305" t="s">
        <v>561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8200770</v>
      </c>
      <c r="K11" s="67">
        <f>+K12+K13+K14+K15+K16+K17+K18</f>
        <v>145142416</v>
      </c>
    </row>
    <row r="12" spans="1:11" s="137" customFormat="1" ht="12" customHeight="1">
      <c r="A12" s="12" t="s">
        <v>58</v>
      </c>
      <c r="B12" s="138" t="s">
        <v>138</v>
      </c>
      <c r="C12" s="461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62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62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549</v>
      </c>
      <c r="C15" s="462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62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27"/>
      <c r="F17" s="127"/>
      <c r="G17" s="127"/>
      <c r="H17" s="127"/>
      <c r="I17" s="127"/>
      <c r="J17" s="166">
        <f t="shared" si="1"/>
        <v>14826700</v>
      </c>
      <c r="K17" s="165">
        <f t="shared" si="2"/>
        <v>14826700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62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95604930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194879441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62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462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62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63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+D34+D35+D36+D37+D38+D39+D41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61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551</v>
      </c>
      <c r="C35" s="462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62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62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62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552</v>
      </c>
      <c r="C39" s="462">
        <v>150000</v>
      </c>
      <c r="D39" s="126"/>
      <c r="E39" s="127"/>
      <c r="F39" s="127"/>
      <c r="G39" s="127"/>
      <c r="H39" s="127"/>
      <c r="I39" s="127"/>
      <c r="J39" s="166">
        <f t="shared" si="10"/>
        <v>0</v>
      </c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553</v>
      </c>
      <c r="C40" s="462">
        <v>650000</v>
      </c>
      <c r="D40" s="128"/>
      <c r="E40" s="247"/>
      <c r="F40" s="247"/>
      <c r="G40" s="247"/>
      <c r="H40" s="247"/>
      <c r="I40" s="247"/>
      <c r="J40" s="271"/>
      <c r="K40" s="165">
        <f t="shared" si="11"/>
        <v>650000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55515173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55515173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25979027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25979027</v>
      </c>
    </row>
    <row r="45" spans="1:11" s="137" customFormat="1" ht="12" customHeight="1">
      <c r="A45" s="11" t="s">
        <v>53</v>
      </c>
      <c r="B45" s="139" t="s">
        <v>160</v>
      </c>
      <c r="C45" s="462">
        <v>5393716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5393716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>
        <v>17813380</v>
      </c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17813380</v>
      </c>
    </row>
    <row r="48" spans="1:11" s="137" customFormat="1" ht="12" customHeight="1">
      <c r="A48" s="11" t="s">
        <v>95</v>
      </c>
      <c r="B48" s="139" t="s">
        <v>163</v>
      </c>
      <c r="C48" s="462">
        <v>6319050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6319050</v>
      </c>
    </row>
    <row r="49" spans="1:11" s="137" customFormat="1" ht="12" customHeight="1">
      <c r="A49" s="11" t="s">
        <v>96</v>
      </c>
      <c r="B49" s="139" t="s">
        <v>164</v>
      </c>
      <c r="C49" s="462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62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563046725</v>
      </c>
      <c r="D70" s="131">
        <f aca="true" t="shared" si="18" ref="D70:K70">+D11+D19+D26+D33+D42+D54+D60+D65</f>
        <v>109525281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109525281</v>
      </c>
      <c r="K70" s="164">
        <f t="shared" si="18"/>
        <v>672572006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64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810533193</v>
      </c>
      <c r="D95" s="131">
        <f aca="true" t="shared" si="27" ref="D95:K95">+D70+D94</f>
        <v>120098137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120098137</v>
      </c>
      <c r="K95" s="164">
        <f t="shared" si="27"/>
        <v>930631330</v>
      </c>
    </row>
    <row r="96" spans="1:3" s="137" customFormat="1" ht="30.75" customHeight="1">
      <c r="A96" s="2"/>
      <c r="B96" s="3"/>
      <c r="C96" s="72"/>
    </row>
    <row r="97" spans="1:11" ht="16.5" customHeight="1">
      <c r="A97" s="531" t="s">
        <v>31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1" s="144" customFormat="1" ht="16.5" customHeight="1" thickBot="1">
      <c r="A98" s="533" t="s">
        <v>82</v>
      </c>
      <c r="B98" s="533"/>
      <c r="C98" s="48"/>
      <c r="K98" s="48" t="str">
        <f>K7</f>
        <v>Forintban!</v>
      </c>
    </row>
    <row r="99" spans="1:11" ht="15.75">
      <c r="A99" s="539" t="s">
        <v>46</v>
      </c>
      <c r="B99" s="541" t="s">
        <v>366</v>
      </c>
      <c r="C99" s="543" t="str">
        <f>+CONCATENATE(LEFT(RM_ÖSSZEFÜGGÉSEK!A6,4),". évi")</f>
        <v>2023. évi</v>
      </c>
      <c r="D99" s="544"/>
      <c r="E99" s="545"/>
      <c r="F99" s="545"/>
      <c r="G99" s="545"/>
      <c r="H99" s="545"/>
      <c r="I99" s="545"/>
      <c r="J99" s="545"/>
      <c r="K99" s="546"/>
    </row>
    <row r="100" spans="1:11" ht="48.75" thickBot="1">
      <c r="A100" s="540"/>
      <c r="B100" s="542"/>
      <c r="C100" s="438" t="s">
        <v>365</v>
      </c>
      <c r="D100" s="439" t="str">
        <f aca="true" t="shared" si="28" ref="D100:I100">D9</f>
        <v>1. sz. módosítás </v>
      </c>
      <c r="E100" s="439" t="str">
        <f t="shared" si="28"/>
        <v>.2. sz. módosítás </v>
      </c>
      <c r="F100" s="439" t="str">
        <f t="shared" si="28"/>
        <v>3. sz. módosítás </v>
      </c>
      <c r="G100" s="439" t="str">
        <f t="shared" si="28"/>
        <v>4. sz. módosítás </v>
      </c>
      <c r="H100" s="439" t="str">
        <f t="shared" si="28"/>
        <v>.5. sz. módosítás </v>
      </c>
      <c r="I100" s="439" t="str">
        <f t="shared" si="28"/>
        <v>6. sz. módosítás </v>
      </c>
      <c r="J100" s="440" t="s">
        <v>430</v>
      </c>
      <c r="K100" s="441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683023394</v>
      </c>
      <c r="D102" s="124">
        <f aca="true" t="shared" si="29" ref="D102:K102">D103+D104+D105+D106+D107+D120</f>
        <v>6572413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6572413</v>
      </c>
      <c r="K102" s="181">
        <f t="shared" si="29"/>
        <v>689595807</v>
      </c>
    </row>
    <row r="103" spans="1:11" ht="12" customHeight="1">
      <c r="A103" s="14" t="s">
        <v>58</v>
      </c>
      <c r="B103" s="7" t="s">
        <v>32</v>
      </c>
      <c r="C103" s="465">
        <v>240567103</v>
      </c>
      <c r="D103" s="185">
        <v>-2307325</v>
      </c>
      <c r="E103" s="185"/>
      <c r="F103" s="185"/>
      <c r="G103" s="185"/>
      <c r="H103" s="185"/>
      <c r="I103" s="185"/>
      <c r="J103" s="276">
        <f aca="true" t="shared" si="30" ref="J103:J122">D103+E103+F103+G103+H103+I103</f>
        <v>-2307325</v>
      </c>
      <c r="K103" s="227">
        <f aca="true" t="shared" si="31" ref="K103:K122">C103+J103</f>
        <v>238259778</v>
      </c>
    </row>
    <row r="104" spans="1:11" ht="12" customHeight="1">
      <c r="A104" s="11" t="s">
        <v>59</v>
      </c>
      <c r="B104" s="5" t="s">
        <v>101</v>
      </c>
      <c r="C104" s="462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66">
        <v>277757793</v>
      </c>
      <c r="D105" s="128">
        <v>8113530</v>
      </c>
      <c r="E105" s="128"/>
      <c r="F105" s="128"/>
      <c r="G105" s="128"/>
      <c r="H105" s="128"/>
      <c r="I105" s="128"/>
      <c r="J105" s="278">
        <f t="shared" si="30"/>
        <v>8113530</v>
      </c>
      <c r="K105" s="224">
        <f t="shared" si="31"/>
        <v>285871323</v>
      </c>
    </row>
    <row r="106" spans="1:11" ht="12" customHeight="1">
      <c r="A106" s="11" t="s">
        <v>61</v>
      </c>
      <c r="B106" s="8" t="s">
        <v>102</v>
      </c>
      <c r="C106" s="466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6">
        <v>78130600</v>
      </c>
      <c r="D107" s="128">
        <v>15711772</v>
      </c>
      <c r="E107" s="128"/>
      <c r="F107" s="128"/>
      <c r="G107" s="128"/>
      <c r="H107" s="128"/>
      <c r="I107" s="128"/>
      <c r="J107" s="278">
        <f t="shared" si="30"/>
        <v>15711772</v>
      </c>
      <c r="K107" s="224">
        <f t="shared" si="31"/>
        <v>93842372</v>
      </c>
    </row>
    <row r="108" spans="1:11" ht="12" customHeight="1">
      <c r="A108" s="11" t="s">
        <v>62</v>
      </c>
      <c r="B108" s="5" t="s">
        <v>296</v>
      </c>
      <c r="C108" s="466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6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6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6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6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6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6">
        <v>62389542</v>
      </c>
      <c r="D114" s="128">
        <v>15711772</v>
      </c>
      <c r="E114" s="128"/>
      <c r="F114" s="128"/>
      <c r="G114" s="128"/>
      <c r="H114" s="128"/>
      <c r="I114" s="128"/>
      <c r="J114" s="278">
        <f t="shared" si="30"/>
        <v>15711772</v>
      </c>
      <c r="K114" s="224">
        <f t="shared" si="31"/>
        <v>78101314</v>
      </c>
    </row>
    <row r="115" spans="1:11" ht="12" customHeight="1">
      <c r="A115" s="11" t="s">
        <v>104</v>
      </c>
      <c r="B115" s="49" t="s">
        <v>236</v>
      </c>
      <c r="C115" s="466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6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6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6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6">
        <v>2018169</v>
      </c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2018169</v>
      </c>
    </row>
    <row r="120" spans="1:11" ht="12" customHeight="1">
      <c r="A120" s="11" t="s">
        <v>297</v>
      </c>
      <c r="B120" s="8" t="s">
        <v>33</v>
      </c>
      <c r="C120" s="462">
        <v>44794452</v>
      </c>
      <c r="D120" s="126">
        <v>-15011644</v>
      </c>
      <c r="E120" s="126"/>
      <c r="F120" s="126"/>
      <c r="G120" s="126"/>
      <c r="H120" s="126"/>
      <c r="I120" s="126"/>
      <c r="J120" s="277">
        <f t="shared" si="30"/>
        <v>-15011644</v>
      </c>
      <c r="K120" s="223">
        <f t="shared" si="31"/>
        <v>29782808</v>
      </c>
    </row>
    <row r="121" spans="1:11" ht="12" customHeight="1">
      <c r="A121" s="11" t="s">
        <v>298</v>
      </c>
      <c r="B121" s="5" t="s">
        <v>300</v>
      </c>
      <c r="C121" s="462">
        <v>36937651</v>
      </c>
      <c r="D121" s="126">
        <v>-15011644</v>
      </c>
      <c r="E121" s="126"/>
      <c r="F121" s="126"/>
      <c r="G121" s="126"/>
      <c r="H121" s="126"/>
      <c r="I121" s="126"/>
      <c r="J121" s="277">
        <f t="shared" si="30"/>
        <v>-15011644</v>
      </c>
      <c r="K121" s="223">
        <f t="shared" si="31"/>
        <v>21926007</v>
      </c>
    </row>
    <row r="122" spans="1:11" ht="12" customHeight="1" thickBot="1">
      <c r="A122" s="15" t="s">
        <v>299</v>
      </c>
      <c r="B122" s="177" t="s">
        <v>301</v>
      </c>
      <c r="C122" s="467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122032133</v>
      </c>
      <c r="D123" s="125">
        <f aca="true" t="shared" si="32" ref="D123:K123">+D124+D126+D128</f>
        <v>113525724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113525724</v>
      </c>
      <c r="K123" s="182">
        <f t="shared" si="32"/>
        <v>235557857</v>
      </c>
    </row>
    <row r="124" spans="1:11" ht="12" customHeight="1">
      <c r="A124" s="12" t="s">
        <v>64</v>
      </c>
      <c r="B124" s="5" t="s">
        <v>119</v>
      </c>
      <c r="C124" s="461">
        <v>117796696</v>
      </c>
      <c r="D124" s="193">
        <v>109860970</v>
      </c>
      <c r="E124" s="193"/>
      <c r="F124" s="193"/>
      <c r="G124" s="193"/>
      <c r="H124" s="193"/>
      <c r="I124" s="127"/>
      <c r="J124" s="166">
        <f aca="true" t="shared" si="33" ref="J124:J136">D124+E124+F124+G124+H124+I124</f>
        <v>109860970</v>
      </c>
      <c r="K124" s="165">
        <f aca="true" t="shared" si="34" ref="K124:K136">C124+J124</f>
        <v>227657666</v>
      </c>
    </row>
    <row r="125" spans="1:11" ht="12" customHeight="1">
      <c r="A125" s="12" t="s">
        <v>65</v>
      </c>
      <c r="B125" s="9" t="s">
        <v>245</v>
      </c>
      <c r="C125" s="461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62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8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4235437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4235563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468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8">
        <v>2000000</v>
      </c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2000000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805055527</v>
      </c>
      <c r="D137" s="192">
        <f aca="true" t="shared" si="35" ref="D137:K137">+D102+D123</f>
        <v>120098137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120098137</v>
      </c>
      <c r="K137" s="67">
        <f t="shared" si="35"/>
        <v>925153664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8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810533193</v>
      </c>
      <c r="D163" s="199">
        <f aca="true" t="shared" si="45" ref="D163:K163">+D137+D162</f>
        <v>120098137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120098137</v>
      </c>
      <c r="K163" s="184">
        <f t="shared" si="45"/>
        <v>930631330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47" t="s">
        <v>254</v>
      </c>
      <c r="B165" s="547"/>
      <c r="C165" s="547"/>
      <c r="D165" s="547"/>
      <c r="E165" s="547"/>
      <c r="F165" s="547"/>
      <c r="G165" s="547"/>
      <c r="H165" s="547"/>
      <c r="I165" s="547"/>
      <c r="J165" s="547"/>
      <c r="K165" s="547"/>
    </row>
    <row r="166" spans="1:11" ht="15" customHeight="1" thickBot="1">
      <c r="A166" s="538" t="s">
        <v>83</v>
      </c>
      <c r="B166" s="538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-242008802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-252581658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166:B166"/>
    <mergeCell ref="A8:A9"/>
    <mergeCell ref="B8:B9"/>
    <mergeCell ref="C8:K8"/>
    <mergeCell ref="A99:A100"/>
    <mergeCell ref="B99:B100"/>
    <mergeCell ref="C99:K99"/>
    <mergeCell ref="A165:K165"/>
    <mergeCell ref="A6:K6"/>
    <mergeCell ref="A97:K97"/>
    <mergeCell ref="A7:B7"/>
    <mergeCell ref="A98:B9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09">
      <selection activeCell="D115" sqref="D115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34" t="str">
        <f>CONCATENATE("2. melléklet ",RM_ALAPADATOK!A7," ",RM_ALAPADATOK!B7," ",RM_ALAPADATOK!C7," ",RM_ALAPADATOK!D7," ",RM_ALAPADATOK!E7," ",RM_ALAPADATOK!F7," ",RM_ALAPADATOK!G7," ",RM_ALAPADATOK!H7)</f>
        <v>2. melléklet a  / 2023 ( … ) önkormányzati rendelethez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36">
        <f>CONCATENATE(RM_ALAPADATOK!A4)</f>
      </c>
      <c r="B3" s="536"/>
      <c r="C3" s="537"/>
      <c r="D3" s="536"/>
      <c r="E3" s="536"/>
      <c r="F3" s="536"/>
      <c r="G3" s="536"/>
      <c r="H3" s="536"/>
      <c r="I3" s="536"/>
      <c r="J3" s="536"/>
      <c r="K3" s="536"/>
    </row>
    <row r="4" spans="1:11" ht="15.75">
      <c r="A4" s="536" t="s">
        <v>558</v>
      </c>
      <c r="B4" s="536"/>
      <c r="C4" s="537"/>
      <c r="D4" s="536"/>
      <c r="E4" s="536"/>
      <c r="F4" s="536"/>
      <c r="G4" s="536"/>
      <c r="H4" s="536"/>
      <c r="I4" s="536"/>
      <c r="J4" s="536"/>
      <c r="K4" s="53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30" t="s">
        <v>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5.75" customHeight="1" thickBot="1">
      <c r="A7" s="532" t="s">
        <v>81</v>
      </c>
      <c r="B7" s="53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9" t="s">
        <v>46</v>
      </c>
      <c r="B8" s="541" t="s">
        <v>2</v>
      </c>
      <c r="C8" s="543" t="str">
        <f>+CONCATENATE(LEFT(RM_ÖSSZEFÜGGÉSEK!A6,4),". évi")</f>
        <v>2023. évi</v>
      </c>
      <c r="D8" s="544"/>
      <c r="E8" s="545"/>
      <c r="F8" s="545"/>
      <c r="G8" s="545"/>
      <c r="H8" s="545"/>
      <c r="I8" s="545"/>
      <c r="J8" s="545"/>
      <c r="K8" s="546"/>
    </row>
    <row r="9" spans="1:11" ht="39" customHeight="1" thickBot="1">
      <c r="A9" s="540"/>
      <c r="B9" s="542"/>
      <c r="C9" s="283" t="s">
        <v>365</v>
      </c>
      <c r="D9" s="303" t="str">
        <f>CONCATENATE('1.sz.mell.'!D9)</f>
        <v>1. sz. módosítás </v>
      </c>
      <c r="E9" s="303" t="str">
        <f>CONCATENATE('1.sz.mell.'!E9)</f>
        <v>.2. sz. módosítás </v>
      </c>
      <c r="F9" s="303" t="str">
        <f>CONCATENATE('1.sz.mell.'!F9)</f>
        <v>3. sz. módosítás </v>
      </c>
      <c r="G9" s="303" t="str">
        <f>CONCATENATE('1.sz.mell.'!G9)</f>
        <v>4. sz. módosítás </v>
      </c>
      <c r="H9" s="303" t="str">
        <f>CONCATENATE('1.sz.mell.'!H9)</f>
        <v>.5. sz. módosítás </v>
      </c>
      <c r="I9" s="303" t="str">
        <f>CONCATENATE('1.sz.mell.'!I9)</f>
        <v>6. sz. módosítás </v>
      </c>
      <c r="J9" s="304" t="s">
        <v>430</v>
      </c>
      <c r="K9" s="305" t="str">
        <f>CONCATENATE('1.sz.mell.'!K9)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8200770</v>
      </c>
      <c r="K11" s="67">
        <f>+K12+K13+K14+K15+K16+K17+K18</f>
        <v>145142416</v>
      </c>
    </row>
    <row r="12" spans="1:11" s="137" customFormat="1" ht="12" customHeight="1">
      <c r="A12" s="12" t="s">
        <v>58</v>
      </c>
      <c r="B12" s="138" t="s">
        <v>138</v>
      </c>
      <c r="C12" s="461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62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62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549</v>
      </c>
      <c r="C15" s="462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62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27"/>
      <c r="F17" s="127"/>
      <c r="G17" s="127"/>
      <c r="H17" s="127"/>
      <c r="I17" s="127"/>
      <c r="J17" s="166">
        <f t="shared" si="1"/>
        <v>14826700</v>
      </c>
      <c r="K17" s="165">
        <f t="shared" si="2"/>
        <v>14826700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62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95274530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194549041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62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63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61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551</v>
      </c>
      <c r="C35" s="462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62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62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62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552</v>
      </c>
      <c r="C39" s="462">
        <v>150000</v>
      </c>
      <c r="D39" s="126"/>
      <c r="E39" s="127"/>
      <c r="F39" s="127"/>
      <c r="G39" s="127"/>
      <c r="H39" s="127"/>
      <c r="I39" s="127"/>
      <c r="J39" s="166"/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553</v>
      </c>
      <c r="C40" s="462">
        <v>650000</v>
      </c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650000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34027578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34027578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9950000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9950000</v>
      </c>
    </row>
    <row r="45" spans="1:11" s="137" customFormat="1" ht="12" customHeight="1">
      <c r="A45" s="11" t="s">
        <v>53</v>
      </c>
      <c r="B45" s="139" t="s">
        <v>160</v>
      </c>
      <c r="C45" s="462">
        <v>2893716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2893716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>
        <v>14788800</v>
      </c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14788800</v>
      </c>
    </row>
    <row r="48" spans="1:11" s="137" customFormat="1" ht="12" customHeight="1">
      <c r="A48" s="11" t="s">
        <v>95</v>
      </c>
      <c r="B48" s="139" t="s">
        <v>163</v>
      </c>
      <c r="C48" s="462">
        <v>6385062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6385062</v>
      </c>
    </row>
    <row r="49" spans="1:11" s="137" customFormat="1" ht="12" customHeight="1">
      <c r="A49" s="11" t="s">
        <v>96</v>
      </c>
      <c r="B49" s="139" t="s">
        <v>164</v>
      </c>
      <c r="C49" s="462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62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541228730</v>
      </c>
      <c r="D70" s="131">
        <f aca="true" t="shared" si="18" ref="D70:K70">+D11+D19+D26+D33+D42+D54+D60+D65</f>
        <v>109525281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109525281</v>
      </c>
      <c r="K70" s="164">
        <f t="shared" si="18"/>
        <v>650754011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64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788715198</v>
      </c>
      <c r="D95" s="131">
        <f aca="true" t="shared" si="27" ref="D95:K95">+D70+D94</f>
        <v>120098137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120098137</v>
      </c>
      <c r="K95" s="164">
        <f t="shared" si="27"/>
        <v>908813335</v>
      </c>
    </row>
    <row r="96" spans="1:3" s="137" customFormat="1" ht="30.75" customHeight="1">
      <c r="A96" s="2"/>
      <c r="B96" s="3"/>
      <c r="C96" s="72"/>
    </row>
    <row r="97" spans="1:11" ht="16.5" customHeight="1">
      <c r="A97" s="531" t="s">
        <v>31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1" s="144" customFormat="1" ht="16.5" customHeight="1" thickBot="1">
      <c r="A98" s="533" t="s">
        <v>82</v>
      </c>
      <c r="B98" s="533"/>
      <c r="C98" s="48"/>
      <c r="K98" s="48" t="str">
        <f>K7</f>
        <v>Forintban!</v>
      </c>
    </row>
    <row r="99" spans="1:11" ht="15.75">
      <c r="A99" s="539" t="s">
        <v>46</v>
      </c>
      <c r="B99" s="541" t="s">
        <v>366</v>
      </c>
      <c r="C99" s="543" t="str">
        <f>+CONCATENATE(LEFT(RM_ÖSSZEFÜGGÉSEK!A6,4),". évi")</f>
        <v>2023. évi</v>
      </c>
      <c r="D99" s="544"/>
      <c r="E99" s="545"/>
      <c r="F99" s="545"/>
      <c r="G99" s="545"/>
      <c r="H99" s="545"/>
      <c r="I99" s="545"/>
      <c r="J99" s="545"/>
      <c r="K99" s="546"/>
    </row>
    <row r="100" spans="1:11" ht="39" customHeight="1" thickBot="1">
      <c r="A100" s="540"/>
      <c r="B100" s="542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679339225</v>
      </c>
      <c r="D102" s="124">
        <f aca="true" t="shared" si="29" ref="D102:K102">D103+D104+D105+D106+D107+D120</f>
        <v>6572413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6572413</v>
      </c>
      <c r="K102" s="181">
        <f t="shared" si="29"/>
        <v>685911638</v>
      </c>
    </row>
    <row r="103" spans="1:11" ht="12" customHeight="1">
      <c r="A103" s="14" t="s">
        <v>58</v>
      </c>
      <c r="B103" s="7" t="s">
        <v>32</v>
      </c>
      <c r="C103" s="465">
        <v>240567103</v>
      </c>
      <c r="D103" s="185">
        <v>-2307325</v>
      </c>
      <c r="E103" s="185"/>
      <c r="F103" s="185"/>
      <c r="G103" s="185"/>
      <c r="H103" s="185"/>
      <c r="I103" s="185"/>
      <c r="J103" s="276">
        <f aca="true" t="shared" si="30" ref="J103:J122">D103+E103+F103+G103+H103+I103</f>
        <v>-2307325</v>
      </c>
      <c r="K103" s="227">
        <f aca="true" t="shared" si="31" ref="K103:K122">C103+J103</f>
        <v>238259778</v>
      </c>
    </row>
    <row r="104" spans="1:11" ht="12" customHeight="1">
      <c r="A104" s="11" t="s">
        <v>59</v>
      </c>
      <c r="B104" s="5" t="s">
        <v>101</v>
      </c>
      <c r="C104" s="462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66">
        <v>275791793</v>
      </c>
      <c r="D105" s="128">
        <v>8113530</v>
      </c>
      <c r="E105" s="128"/>
      <c r="F105" s="128"/>
      <c r="G105" s="128"/>
      <c r="H105" s="128"/>
      <c r="I105" s="128"/>
      <c r="J105" s="278">
        <f t="shared" si="30"/>
        <v>8113530</v>
      </c>
      <c r="K105" s="224">
        <f t="shared" si="31"/>
        <v>283905323</v>
      </c>
    </row>
    <row r="106" spans="1:11" ht="12" customHeight="1">
      <c r="A106" s="11" t="s">
        <v>61</v>
      </c>
      <c r="B106" s="8" t="s">
        <v>102</v>
      </c>
      <c r="C106" s="466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6">
        <v>76412431</v>
      </c>
      <c r="D107" s="128">
        <v>15711772</v>
      </c>
      <c r="E107" s="128"/>
      <c r="F107" s="128"/>
      <c r="G107" s="128"/>
      <c r="H107" s="128"/>
      <c r="I107" s="128"/>
      <c r="J107" s="278">
        <f t="shared" si="30"/>
        <v>15711772</v>
      </c>
      <c r="K107" s="224">
        <f t="shared" si="31"/>
        <v>92124203</v>
      </c>
    </row>
    <row r="108" spans="1:11" ht="12" customHeight="1">
      <c r="A108" s="11" t="s">
        <v>62</v>
      </c>
      <c r="B108" s="5" t="s">
        <v>296</v>
      </c>
      <c r="C108" s="466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6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6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6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6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6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6">
        <v>62389542</v>
      </c>
      <c r="D114" s="128">
        <v>15711772</v>
      </c>
      <c r="E114" s="128"/>
      <c r="F114" s="128"/>
      <c r="G114" s="128"/>
      <c r="H114" s="128"/>
      <c r="I114" s="128"/>
      <c r="J114" s="278">
        <f t="shared" si="30"/>
        <v>15711772</v>
      </c>
      <c r="K114" s="224">
        <f t="shared" si="31"/>
        <v>78101314</v>
      </c>
    </row>
    <row r="115" spans="1:11" ht="12" customHeight="1">
      <c r="A115" s="11" t="s">
        <v>104</v>
      </c>
      <c r="B115" s="49" t="s">
        <v>236</v>
      </c>
      <c r="C115" s="466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6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6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6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6">
        <v>300000</v>
      </c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300000</v>
      </c>
    </row>
    <row r="120" spans="1:11" ht="12" customHeight="1">
      <c r="A120" s="11" t="s">
        <v>297</v>
      </c>
      <c r="B120" s="8" t="s">
        <v>33</v>
      </c>
      <c r="C120" s="462">
        <v>44794452</v>
      </c>
      <c r="D120" s="126">
        <v>-15011644</v>
      </c>
      <c r="E120" s="126"/>
      <c r="F120" s="126"/>
      <c r="G120" s="126"/>
      <c r="H120" s="126"/>
      <c r="I120" s="126"/>
      <c r="J120" s="277">
        <f t="shared" si="30"/>
        <v>-15011644</v>
      </c>
      <c r="K120" s="223">
        <f t="shared" si="31"/>
        <v>29782808</v>
      </c>
    </row>
    <row r="121" spans="1:11" ht="12" customHeight="1">
      <c r="A121" s="11" t="s">
        <v>298</v>
      </c>
      <c r="B121" s="5" t="s">
        <v>300</v>
      </c>
      <c r="C121" s="462">
        <v>36937651</v>
      </c>
      <c r="D121" s="126">
        <v>-15011644</v>
      </c>
      <c r="E121" s="126"/>
      <c r="F121" s="126"/>
      <c r="G121" s="126"/>
      <c r="H121" s="126"/>
      <c r="I121" s="126"/>
      <c r="J121" s="277">
        <f t="shared" si="30"/>
        <v>-15011644</v>
      </c>
      <c r="K121" s="223">
        <f t="shared" si="31"/>
        <v>21926007</v>
      </c>
    </row>
    <row r="122" spans="1:11" ht="12" customHeight="1" thickBot="1">
      <c r="A122" s="15" t="s">
        <v>299</v>
      </c>
      <c r="B122" s="177" t="s">
        <v>301</v>
      </c>
      <c r="C122" s="467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120032133</v>
      </c>
      <c r="D123" s="125">
        <f aca="true" t="shared" si="32" ref="D123:K123">+D124+D126+D128</f>
        <v>113525724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113525724</v>
      </c>
      <c r="K123" s="182">
        <f t="shared" si="32"/>
        <v>233557857</v>
      </c>
    </row>
    <row r="124" spans="1:11" ht="12" customHeight="1">
      <c r="A124" s="12" t="s">
        <v>64</v>
      </c>
      <c r="B124" s="5" t="s">
        <v>119</v>
      </c>
      <c r="C124" s="461">
        <v>117796696</v>
      </c>
      <c r="D124" s="193">
        <v>109860970</v>
      </c>
      <c r="E124" s="193"/>
      <c r="F124" s="193"/>
      <c r="G124" s="193"/>
      <c r="H124" s="193"/>
      <c r="I124" s="127"/>
      <c r="J124" s="166">
        <f aca="true" t="shared" si="33" ref="J124:J136">D124+E124+F124+G124+H124+I124</f>
        <v>109860970</v>
      </c>
      <c r="K124" s="165">
        <f aca="true" t="shared" si="34" ref="K124:K136">C124+J124</f>
        <v>227657666</v>
      </c>
    </row>
    <row r="125" spans="1:11" ht="12" customHeight="1">
      <c r="A125" s="12" t="s">
        <v>65</v>
      </c>
      <c r="B125" s="9" t="s">
        <v>245</v>
      </c>
      <c r="C125" s="461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62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8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2235437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2235563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799371358</v>
      </c>
      <c r="D137" s="192">
        <f aca="true" t="shared" si="35" ref="D137:K137">+D102+D123</f>
        <v>120098137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120098137</v>
      </c>
      <c r="K137" s="67">
        <f t="shared" si="35"/>
        <v>919469495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8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804849024</v>
      </c>
      <c r="D163" s="199">
        <f aca="true" t="shared" si="45" ref="D163:K163">+D137+D162</f>
        <v>120098137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120098137</v>
      </c>
      <c r="K163" s="184">
        <f t="shared" si="45"/>
        <v>924947161</v>
      </c>
    </row>
    <row r="164" spans="3:11" ht="13.5" customHeight="1">
      <c r="C164" s="415">
        <f>C95-C163</f>
        <v>-16133826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-16133826</v>
      </c>
    </row>
    <row r="165" spans="1:11" ht="15.75">
      <c r="A165" s="547" t="s">
        <v>254</v>
      </c>
      <c r="B165" s="547"/>
      <c r="C165" s="547"/>
      <c r="D165" s="547"/>
      <c r="E165" s="547"/>
      <c r="F165" s="547"/>
      <c r="G165" s="547"/>
      <c r="H165" s="547"/>
      <c r="I165" s="547"/>
      <c r="J165" s="547"/>
      <c r="K165" s="547"/>
    </row>
    <row r="166" spans="1:11" ht="15" customHeight="1" thickBot="1">
      <c r="A166" s="538" t="s">
        <v>83</v>
      </c>
      <c r="B166" s="538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-258142628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-268715484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166:B166"/>
    <mergeCell ref="A97:K97"/>
    <mergeCell ref="A98:B98"/>
    <mergeCell ref="A99:A100"/>
    <mergeCell ref="B99:B100"/>
    <mergeCell ref="C99:K99"/>
    <mergeCell ref="A165:K165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36">
      <selection activeCell="D140" sqref="D140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34" t="str">
        <f>CONCATENATE("3. melléklet ",RM_ALAPADATOK!A7," ",RM_ALAPADATOK!B7," ",RM_ALAPADATOK!C7," ",RM_ALAPADATOK!D7," ",RM_ALAPADATOK!E7," ",RM_ALAPADATOK!F7," ",RM_ALAPADATOK!G7," ",RM_ALAPADATOK!H7)</f>
        <v>3. melléklet a  / 2023 ( … ) önkormányzati rendelethez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36">
        <f>CONCATENATE(RM_ALAPADATOK!A4)</f>
      </c>
      <c r="B3" s="536"/>
      <c r="C3" s="537"/>
      <c r="D3" s="536"/>
      <c r="E3" s="536"/>
      <c r="F3" s="536"/>
      <c r="G3" s="536"/>
      <c r="H3" s="536"/>
      <c r="I3" s="536"/>
      <c r="J3" s="536"/>
      <c r="K3" s="536"/>
    </row>
    <row r="4" spans="1:11" ht="15.75">
      <c r="A4" s="536" t="s">
        <v>559</v>
      </c>
      <c r="B4" s="536"/>
      <c r="C4" s="537"/>
      <c r="D4" s="536"/>
      <c r="E4" s="536"/>
      <c r="F4" s="536"/>
      <c r="G4" s="536"/>
      <c r="H4" s="536"/>
      <c r="I4" s="536"/>
      <c r="J4" s="536"/>
      <c r="K4" s="53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30" t="s">
        <v>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5.75" customHeight="1" thickBot="1">
      <c r="A7" s="532" t="s">
        <v>81</v>
      </c>
      <c r="B7" s="53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9" t="s">
        <v>46</v>
      </c>
      <c r="B8" s="541" t="s">
        <v>2</v>
      </c>
      <c r="C8" s="543" t="str">
        <f>+CONCATENATE(LEFT(RM_ÖSSZEFÜGGÉSEK!A6,4),". évi")</f>
        <v>2023. évi</v>
      </c>
      <c r="D8" s="544"/>
      <c r="E8" s="545"/>
      <c r="F8" s="545"/>
      <c r="G8" s="545"/>
      <c r="H8" s="545"/>
      <c r="I8" s="545"/>
      <c r="J8" s="545"/>
      <c r="K8" s="546"/>
    </row>
    <row r="9" spans="1:11" ht="38.25" customHeight="1" thickBot="1">
      <c r="A9" s="540"/>
      <c r="B9" s="542"/>
      <c r="C9" s="283" t="s">
        <v>365</v>
      </c>
      <c r="D9" s="303" t="str">
        <f>CONCATENATE('2.sz.mell'!D9)</f>
        <v>1. sz. módosítás </v>
      </c>
      <c r="E9" s="303" t="str">
        <f>CONCATENATE('2.sz.mell'!E9)</f>
        <v>.2. sz. módosítás </v>
      </c>
      <c r="F9" s="303" t="str">
        <f>CONCATENATE('2.sz.mell'!F9)</f>
        <v>3. sz. módosítás </v>
      </c>
      <c r="G9" s="303" t="str">
        <f>CONCATENATE('2.sz.mell'!G9)</f>
        <v>4. sz. módosítás </v>
      </c>
      <c r="H9" s="303" t="str">
        <f>CONCATENATE('2.sz.mell'!H9)</f>
        <v>.5. sz. módosítás </v>
      </c>
      <c r="I9" s="303" t="str">
        <f>CONCATENATE('2.sz.mell'!I9)</f>
        <v>6. sz. módosítás </v>
      </c>
      <c r="J9" s="304" t="s">
        <v>430</v>
      </c>
      <c r="K9" s="305" t="str">
        <f>CONCATENATE('2.sz.mell'!K9)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549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330400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330400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62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551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552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553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21487595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21487595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16029027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16029027</v>
      </c>
    </row>
    <row r="45" spans="1:11" s="137" customFormat="1" ht="12" customHeight="1">
      <c r="A45" s="11" t="s">
        <v>53</v>
      </c>
      <c r="B45" s="139" t="s">
        <v>160</v>
      </c>
      <c r="C45" s="462">
        <v>2500000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2500000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462">
        <v>2958568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2958568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21817995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21817995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322" t="s">
        <v>229</v>
      </c>
      <c r="B94" s="323" t="s">
        <v>332</v>
      </c>
      <c r="C94" s="324">
        <f>+C71+C75+C80+C83+C87+C93+C92</f>
        <v>0</v>
      </c>
      <c r="D94" s="324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8" t="s">
        <v>331</v>
      </c>
      <c r="B95" s="68" t="s">
        <v>333</v>
      </c>
      <c r="C95" s="131">
        <f>+C70+C94</f>
        <v>21817995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21817995</v>
      </c>
    </row>
    <row r="96" spans="1:3" s="137" customFormat="1" ht="30.75" customHeight="1">
      <c r="A96" s="2"/>
      <c r="B96" s="3"/>
      <c r="C96" s="72"/>
    </row>
    <row r="97" spans="1:11" ht="16.5" customHeight="1">
      <c r="A97" s="531" t="s">
        <v>31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1" s="144" customFormat="1" ht="16.5" customHeight="1" thickBot="1">
      <c r="A98" s="533" t="s">
        <v>82</v>
      </c>
      <c r="B98" s="533"/>
      <c r="C98" s="48"/>
      <c r="K98" s="48" t="str">
        <f>K7</f>
        <v>Forintban!</v>
      </c>
    </row>
    <row r="99" spans="1:11" ht="15.75">
      <c r="A99" s="539" t="s">
        <v>46</v>
      </c>
      <c r="B99" s="541" t="s">
        <v>366</v>
      </c>
      <c r="C99" s="543" t="str">
        <f>+CONCATENATE(LEFT(RM_ÖSSZEFÜGGÉSEK!A6,4),". évi")</f>
        <v>2023. évi</v>
      </c>
      <c r="D99" s="544"/>
      <c r="E99" s="545"/>
      <c r="F99" s="545"/>
      <c r="G99" s="545"/>
      <c r="H99" s="545"/>
      <c r="I99" s="545"/>
      <c r="J99" s="545"/>
      <c r="K99" s="546"/>
    </row>
    <row r="100" spans="1:11" ht="48.75" thickBot="1">
      <c r="A100" s="540"/>
      <c r="B100" s="542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3684169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3684169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466">
        <v>1966000</v>
      </c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1966000</v>
      </c>
    </row>
    <row r="106" spans="1:11" ht="12" customHeight="1">
      <c r="A106" s="11" t="s">
        <v>61</v>
      </c>
      <c r="B106" s="8" t="s">
        <v>102</v>
      </c>
      <c r="C106" s="466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466">
        <v>1718169</v>
      </c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1718169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2000000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2000000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2000000</v>
      </c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2000000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468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8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5684169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5684169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5684169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5684169</v>
      </c>
    </row>
    <row r="164" spans="3:11" ht="13.5" customHeight="1">
      <c r="C164" s="415">
        <f>C95-C163</f>
        <v>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16133826</v>
      </c>
    </row>
    <row r="165" spans="1:11" ht="15.75">
      <c r="A165" s="547" t="s">
        <v>254</v>
      </c>
      <c r="B165" s="547"/>
      <c r="C165" s="547"/>
      <c r="D165" s="547"/>
      <c r="E165" s="547"/>
      <c r="F165" s="547"/>
      <c r="G165" s="547"/>
      <c r="H165" s="547"/>
      <c r="I165" s="547"/>
      <c r="J165" s="547"/>
      <c r="K165" s="547"/>
    </row>
    <row r="166" spans="1:11" ht="15" customHeight="1" thickBot="1">
      <c r="A166" s="538" t="s">
        <v>83</v>
      </c>
      <c r="B166" s="538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16133826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16133826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166:B166"/>
    <mergeCell ref="A97:K97"/>
    <mergeCell ref="A98:B98"/>
    <mergeCell ref="A99:A100"/>
    <mergeCell ref="B99:B100"/>
    <mergeCell ref="C99:K99"/>
    <mergeCell ref="A165:K165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B1">
      <selection activeCell="B1" sqref="B1:K1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0" width="14.875" style="135" customWidth="1"/>
    <col min="11" max="11" width="16.50390625" style="135" customWidth="1"/>
    <col min="12" max="16384" width="9.375" style="135" customWidth="1"/>
  </cols>
  <sheetData>
    <row r="1" spans="1:11" ht="15.75">
      <c r="A1" s="306"/>
      <c r="B1" s="534" t="str">
        <f>CONCATENATE("4. melléklet ",RM_ALAPADATOK!A7," ",RM_ALAPADATOK!B7," ",RM_ALAPADATOK!C7," ",RM_ALAPADATOK!D7," ",RM_ALAPADATOK!E7," ",RM_ALAPADATOK!F7," ",RM_ALAPADATOK!G7," ",RM_ALAPADATOK!H7)</f>
        <v>4. melléklet a  / 2023 ( … ) önkormányzati rendelethez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36">
        <f>CONCATENATE(RM_ALAPADATOK!A4)</f>
      </c>
      <c r="B3" s="536"/>
      <c r="C3" s="537"/>
      <c r="D3" s="536"/>
      <c r="E3" s="536"/>
      <c r="F3" s="536"/>
      <c r="G3" s="536"/>
      <c r="H3" s="536"/>
      <c r="I3" s="536"/>
      <c r="J3" s="536"/>
      <c r="K3" s="536"/>
    </row>
    <row r="4" spans="1:11" ht="15.75">
      <c r="A4" s="536" t="s">
        <v>560</v>
      </c>
      <c r="B4" s="536"/>
      <c r="C4" s="537"/>
      <c r="D4" s="536"/>
      <c r="E4" s="536"/>
      <c r="F4" s="536"/>
      <c r="G4" s="536"/>
      <c r="H4" s="536"/>
      <c r="I4" s="536"/>
      <c r="J4" s="536"/>
      <c r="K4" s="53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30" t="s">
        <v>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5.75" customHeight="1" thickBot="1">
      <c r="A7" s="532" t="s">
        <v>81</v>
      </c>
      <c r="B7" s="53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9" t="s">
        <v>46</v>
      </c>
      <c r="B8" s="541" t="s">
        <v>2</v>
      </c>
      <c r="C8" s="543" t="str">
        <f>+CONCATENATE(LEFT(RM_ÖSSZEFÜGGÉSEK!A6,4),". évi")</f>
        <v>2023. évi</v>
      </c>
      <c r="D8" s="544"/>
      <c r="E8" s="545"/>
      <c r="F8" s="545"/>
      <c r="G8" s="545"/>
      <c r="H8" s="545"/>
      <c r="I8" s="545"/>
      <c r="J8" s="545"/>
      <c r="K8" s="546"/>
    </row>
    <row r="9" spans="1:11" ht="36" customHeight="1" thickBot="1">
      <c r="A9" s="540"/>
      <c r="B9" s="542"/>
      <c r="C9" s="283" t="s">
        <v>365</v>
      </c>
      <c r="D9" s="303" t="str">
        <f>CONCATENATE('3.sz.mell.'!D100)</f>
        <v>1. sz. módosítás </v>
      </c>
      <c r="E9" s="303" t="str">
        <f>CONCATENATE('3.sz.mell.'!E100)</f>
        <v>.2. sz. módosítás </v>
      </c>
      <c r="F9" s="303" t="str">
        <f>CONCATENATE('3.sz.mell.'!F100)</f>
        <v>3. sz. módosítás </v>
      </c>
      <c r="G9" s="303" t="str">
        <f>CONCATENATE('3.sz.mell.'!G100)</f>
        <v>4. sz. módosítás </v>
      </c>
      <c r="H9" s="303" t="str">
        <f>CONCATENATE('3.sz.mell.'!H100)</f>
        <v>.5. sz. módosítás </v>
      </c>
      <c r="I9" s="303" t="str">
        <f>CONCATENATE('3.sz.mell.'!I100)</f>
        <v>6. sz. módosítás </v>
      </c>
      <c r="J9" s="304" t="s">
        <v>430</v>
      </c>
      <c r="K9" s="305" t="str">
        <f>CONCATENATE('3.sz.mell.'!K100)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549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551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552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553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0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0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126"/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0</v>
      </c>
    </row>
    <row r="45" spans="1:11" s="137" customFormat="1" ht="12" customHeight="1">
      <c r="A45" s="11" t="s">
        <v>53</v>
      </c>
      <c r="B45" s="139" t="s">
        <v>160</v>
      </c>
      <c r="C45" s="126"/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0</v>
      </c>
    </row>
    <row r="46" spans="1:11" s="137" customFormat="1" ht="12" customHeight="1">
      <c r="A46" s="11" t="s">
        <v>93</v>
      </c>
      <c r="B46" s="139" t="s">
        <v>161</v>
      </c>
      <c r="C46" s="126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126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126"/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0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0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0</v>
      </c>
      <c r="D94" s="131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0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0</v>
      </c>
    </row>
    <row r="96" spans="1:3" s="137" customFormat="1" ht="30.75" customHeight="1">
      <c r="A96" s="2"/>
      <c r="B96" s="3"/>
      <c r="C96" s="72"/>
    </row>
    <row r="97" spans="1:11" ht="16.5" customHeight="1">
      <c r="A97" s="531" t="s">
        <v>31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1" s="144" customFormat="1" ht="16.5" customHeight="1" thickBot="1">
      <c r="A98" s="533" t="s">
        <v>82</v>
      </c>
      <c r="B98" s="533"/>
      <c r="C98" s="48"/>
      <c r="K98" s="48" t="str">
        <f>K7</f>
        <v>Forintban!</v>
      </c>
    </row>
    <row r="99" spans="1:11" ht="15.75">
      <c r="A99" s="539" t="s">
        <v>46</v>
      </c>
      <c r="B99" s="541" t="s">
        <v>366</v>
      </c>
      <c r="C99" s="543" t="str">
        <f>+CONCATENATE(LEFT(RM_ÖSSZEFÜGGÉSEK!A6,4),". évi")</f>
        <v>2023. évi</v>
      </c>
      <c r="D99" s="544"/>
      <c r="E99" s="545"/>
      <c r="F99" s="545"/>
      <c r="G99" s="545"/>
      <c r="H99" s="545"/>
      <c r="I99" s="545"/>
      <c r="J99" s="545"/>
      <c r="K99" s="546"/>
    </row>
    <row r="100" spans="1:11" ht="48.75" thickBot="1">
      <c r="A100" s="540"/>
      <c r="B100" s="542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0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0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128"/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61</v>
      </c>
      <c r="B106" s="8" t="s">
        <v>102</v>
      </c>
      <c r="C106" s="12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128"/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126"/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0</v>
      </c>
    </row>
    <row r="129" spans="1:11" ht="12" customHeight="1">
      <c r="A129" s="12" t="s">
        <v>74</v>
      </c>
      <c r="B129" s="69" t="s">
        <v>286</v>
      </c>
      <c r="C129" s="126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126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126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126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0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0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0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47" t="s">
        <v>254</v>
      </c>
      <c r="B165" s="547"/>
      <c r="C165" s="547"/>
      <c r="D165" s="547"/>
      <c r="E165" s="547"/>
      <c r="F165" s="547"/>
      <c r="G165" s="547"/>
      <c r="H165" s="547"/>
      <c r="I165" s="547"/>
      <c r="J165" s="547"/>
      <c r="K165" s="547"/>
    </row>
    <row r="166" spans="1:11" ht="15" customHeight="1" thickBot="1">
      <c r="A166" s="538" t="s">
        <v>83</v>
      </c>
      <c r="B166" s="538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0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166:B166"/>
    <mergeCell ref="A97:K97"/>
    <mergeCell ref="A98:B98"/>
    <mergeCell ref="A99:A100"/>
    <mergeCell ref="B99:B100"/>
    <mergeCell ref="C99:K99"/>
    <mergeCell ref="A165:K165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H22" sqref="H22"/>
    </sheetView>
  </sheetViews>
  <sheetFormatPr defaultColWidth="9.00390625" defaultRowHeight="12.75"/>
  <cols>
    <col min="1" max="1" width="6.875" style="33" customWidth="1"/>
    <col min="2" max="2" width="48.00390625" style="5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441</v>
      </c>
      <c r="C1" s="80"/>
      <c r="D1" s="80"/>
      <c r="E1" s="80"/>
      <c r="F1" s="80"/>
      <c r="G1" s="80"/>
      <c r="H1" s="80"/>
      <c r="I1" s="80"/>
      <c r="J1" s="550" t="str">
        <f>CONCATENATE("5. melléklet ",RM_ALAPADATOK!A7," ",RM_ALAPADATOK!B7," ",RM_ALAPADATOK!C7," ",RM_ALAPADATOK!D7," ",RM_ALAPADATOK!E7," ",RM_ALAPADATOK!F7," ",RM_ALAPADATOK!G7," ",RM_ALAPADATOK!H7)</f>
        <v>5. melléklet a  / 2023 ( … ) önkormányzati rendelethez</v>
      </c>
    </row>
    <row r="2" spans="7:10" ht="14.25" thickBot="1">
      <c r="G2" s="81"/>
      <c r="H2" s="81"/>
      <c r="I2" s="81" t="str">
        <f>CONCATENATE('1.sz.mell.'!K7)</f>
        <v>Forintban!</v>
      </c>
      <c r="J2" s="550"/>
    </row>
    <row r="3" spans="1:10" ht="18" customHeight="1" thickBot="1">
      <c r="A3" s="548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0"/>
    </row>
    <row r="4" spans="1:10" s="85" customFormat="1" ht="42.75" customHeight="1" thickBot="1">
      <c r="A4" s="549"/>
      <c r="B4" s="55" t="s">
        <v>39</v>
      </c>
      <c r="C4" s="294" t="str">
        <f>+CONCATENATE('1.sz.mell.'!C8," eredeti előirányzat")</f>
        <v>2023. évi eredeti előirányzat</v>
      </c>
      <c r="D4" s="292" t="s">
        <v>605</v>
      </c>
      <c r="E4" s="292" t="str">
        <f>+CONCATENATE(LEFT('1.sz.mell.'!C8,4),". I. Módosítás után")</f>
        <v>2023. I. 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I. Módosítás után</v>
      </c>
      <c r="J4" s="550"/>
    </row>
    <row r="5" spans="1:10" s="89" customFormat="1" ht="12" customHeight="1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0"/>
    </row>
    <row r="6" spans="1:10" ht="12.75" customHeight="1">
      <c r="A6" s="90" t="s">
        <v>3</v>
      </c>
      <c r="B6" s="91" t="s">
        <v>255</v>
      </c>
      <c r="C6" s="74">
        <v>136941646</v>
      </c>
      <c r="D6" s="74">
        <v>8200770</v>
      </c>
      <c r="E6" s="229">
        <f>C6+D6</f>
        <v>145142416</v>
      </c>
      <c r="F6" s="91" t="s">
        <v>40</v>
      </c>
      <c r="G6" s="469">
        <v>240567103</v>
      </c>
      <c r="H6" s="74">
        <v>-2307325</v>
      </c>
      <c r="I6" s="233">
        <f>G6+H6</f>
        <v>238259778</v>
      </c>
      <c r="J6" s="550"/>
    </row>
    <row r="7" spans="1:10" ht="12.75" customHeight="1">
      <c r="A7" s="92" t="s">
        <v>4</v>
      </c>
      <c r="B7" s="93" t="s">
        <v>256</v>
      </c>
      <c r="C7" s="75">
        <v>19984976</v>
      </c>
      <c r="D7" s="75">
        <v>2050000</v>
      </c>
      <c r="E7" s="229">
        <f aca="true" t="shared" si="0" ref="E7:E16">C7+D7</f>
        <v>22034976</v>
      </c>
      <c r="F7" s="93" t="s">
        <v>101</v>
      </c>
      <c r="G7" s="470">
        <v>35933446</v>
      </c>
      <c r="H7" s="75">
        <v>66080</v>
      </c>
      <c r="I7" s="233">
        <f aca="true" t="shared" si="1" ref="I7:I17">G7+H7</f>
        <v>35999526</v>
      </c>
      <c r="J7" s="550"/>
    </row>
    <row r="8" spans="1:10" ht="12.75" customHeight="1">
      <c r="A8" s="92" t="s">
        <v>5</v>
      </c>
      <c r="B8" s="93" t="s">
        <v>276</v>
      </c>
      <c r="C8" s="75"/>
      <c r="D8" s="75"/>
      <c r="E8" s="229">
        <f t="shared" si="0"/>
        <v>0</v>
      </c>
      <c r="F8" s="93" t="s">
        <v>123</v>
      </c>
      <c r="G8" s="470">
        <v>277757793</v>
      </c>
      <c r="H8" s="75">
        <v>8113530</v>
      </c>
      <c r="I8" s="233">
        <f t="shared" si="1"/>
        <v>285871323</v>
      </c>
      <c r="J8" s="550"/>
    </row>
    <row r="9" spans="1:10" ht="12.75" customHeight="1">
      <c r="A9" s="92" t="s">
        <v>6</v>
      </c>
      <c r="B9" s="93" t="s">
        <v>92</v>
      </c>
      <c r="C9" s="75">
        <v>255000000</v>
      </c>
      <c r="D9" s="75"/>
      <c r="E9" s="229">
        <f t="shared" si="0"/>
        <v>255000000</v>
      </c>
      <c r="F9" s="93" t="s">
        <v>102</v>
      </c>
      <c r="G9" s="470">
        <v>5840000</v>
      </c>
      <c r="H9" s="75"/>
      <c r="I9" s="233">
        <f t="shared" si="1"/>
        <v>5840000</v>
      </c>
      <c r="J9" s="550"/>
    </row>
    <row r="10" spans="1:10" ht="12.75" customHeight="1">
      <c r="A10" s="92" t="s">
        <v>7</v>
      </c>
      <c r="B10" s="94" t="s">
        <v>279</v>
      </c>
      <c r="C10" s="75">
        <v>55515173</v>
      </c>
      <c r="D10" s="75"/>
      <c r="E10" s="229">
        <f t="shared" si="0"/>
        <v>55515173</v>
      </c>
      <c r="F10" s="93" t="s">
        <v>103</v>
      </c>
      <c r="G10" s="470">
        <v>78130600</v>
      </c>
      <c r="H10" s="75">
        <v>15711772</v>
      </c>
      <c r="I10" s="233">
        <f t="shared" si="1"/>
        <v>93842372</v>
      </c>
      <c r="J10" s="550"/>
    </row>
    <row r="11" spans="1:10" ht="12.75" customHeight="1">
      <c r="A11" s="92" t="s">
        <v>8</v>
      </c>
      <c r="B11" s="93" t="s">
        <v>257</v>
      </c>
      <c r="C11" s="76"/>
      <c r="D11" s="76"/>
      <c r="E11" s="229">
        <f t="shared" si="0"/>
        <v>0</v>
      </c>
      <c r="F11" s="93" t="s">
        <v>33</v>
      </c>
      <c r="G11" s="470">
        <v>36937651</v>
      </c>
      <c r="H11" s="75">
        <v>-15011644</v>
      </c>
      <c r="I11" s="233">
        <f t="shared" si="1"/>
        <v>21926007</v>
      </c>
      <c r="J11" s="550"/>
    </row>
    <row r="12" spans="1:10" ht="12.75" customHeight="1">
      <c r="A12" s="92" t="s">
        <v>9</v>
      </c>
      <c r="B12" s="93" t="s">
        <v>335</v>
      </c>
      <c r="C12" s="75"/>
      <c r="D12" s="75"/>
      <c r="E12" s="229">
        <f t="shared" si="0"/>
        <v>0</v>
      </c>
      <c r="F12" s="29"/>
      <c r="G12" s="75"/>
      <c r="H12" s="75"/>
      <c r="I12" s="233">
        <f t="shared" si="1"/>
        <v>0</v>
      </c>
      <c r="J12" s="550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29"/>
      <c r="G13" s="75"/>
      <c r="H13" s="75"/>
      <c r="I13" s="233">
        <f t="shared" si="1"/>
        <v>0</v>
      </c>
      <c r="J13" s="550"/>
    </row>
    <row r="14" spans="1:10" ht="12.75" customHeight="1">
      <c r="A14" s="92" t="s">
        <v>11</v>
      </c>
      <c r="B14" s="147"/>
      <c r="C14" s="76"/>
      <c r="D14" s="76"/>
      <c r="E14" s="229">
        <f t="shared" si="0"/>
        <v>0</v>
      </c>
      <c r="F14" s="29"/>
      <c r="G14" s="75"/>
      <c r="H14" s="75"/>
      <c r="I14" s="233">
        <f t="shared" si="1"/>
        <v>0</v>
      </c>
      <c r="J14" s="550"/>
    </row>
    <row r="15" spans="1:10" ht="12.75" customHeight="1">
      <c r="A15" s="92" t="s">
        <v>12</v>
      </c>
      <c r="B15" s="29"/>
      <c r="C15" s="75"/>
      <c r="D15" s="75"/>
      <c r="E15" s="229">
        <f t="shared" si="0"/>
        <v>0</v>
      </c>
      <c r="F15" s="29"/>
      <c r="G15" s="75"/>
      <c r="H15" s="75"/>
      <c r="I15" s="233">
        <f t="shared" si="1"/>
        <v>0</v>
      </c>
      <c r="J15" s="550"/>
    </row>
    <row r="16" spans="1:10" ht="12.75" customHeight="1">
      <c r="A16" s="92" t="s">
        <v>13</v>
      </c>
      <c r="B16" s="29"/>
      <c r="C16" s="75"/>
      <c r="D16" s="75"/>
      <c r="E16" s="229">
        <f t="shared" si="0"/>
        <v>0</v>
      </c>
      <c r="F16" s="29"/>
      <c r="G16" s="75"/>
      <c r="H16" s="75"/>
      <c r="I16" s="233">
        <f t="shared" si="1"/>
        <v>0</v>
      </c>
      <c r="J16" s="550"/>
    </row>
    <row r="17" spans="1:10" ht="12.75" customHeight="1" thickBot="1">
      <c r="A17" s="92" t="s">
        <v>14</v>
      </c>
      <c r="B17" s="35"/>
      <c r="C17" s="77"/>
      <c r="D17" s="77"/>
      <c r="E17" s="230"/>
      <c r="F17" s="29"/>
      <c r="G17" s="77"/>
      <c r="H17" s="77"/>
      <c r="I17" s="233">
        <f t="shared" si="1"/>
        <v>0</v>
      </c>
      <c r="J17" s="550"/>
    </row>
    <row r="18" spans="1:10" ht="21.75" thickBot="1">
      <c r="A18" s="95" t="s">
        <v>15</v>
      </c>
      <c r="B18" s="47" t="s">
        <v>336</v>
      </c>
      <c r="C18" s="78">
        <f>C6+C7+C9+C10+C11+C13+C14+C15+C16+C17</f>
        <v>467441795</v>
      </c>
      <c r="D18" s="78">
        <f>D6+D7+D9+D10+D11+D13+D14+D15+D16+D17</f>
        <v>10250770</v>
      </c>
      <c r="E18" s="78">
        <f>E6+E7+E9+E10+E11+E13+E14+E15+E16+E17</f>
        <v>477692565</v>
      </c>
      <c r="F18" s="47" t="s">
        <v>262</v>
      </c>
      <c r="G18" s="78">
        <f>SUM(G6:G17)</f>
        <v>675166593</v>
      </c>
      <c r="H18" s="78">
        <f>SUM(H6:H17)</f>
        <v>6572413</v>
      </c>
      <c r="I18" s="111">
        <f>SUM(I6:I17)</f>
        <v>681739006</v>
      </c>
      <c r="J18" s="550"/>
    </row>
    <row r="19" spans="1:10" ht="12.75" customHeight="1">
      <c r="A19" s="96" t="s">
        <v>16</v>
      </c>
      <c r="B19" s="97" t="s">
        <v>259</v>
      </c>
      <c r="C19" s="179">
        <f>+C20+C21+C22+C23</f>
        <v>239629667</v>
      </c>
      <c r="D19" s="179">
        <f>+D20+D21+D22+D23</f>
        <v>10572856</v>
      </c>
      <c r="E19" s="179">
        <f>+E20+E21+E22+E23</f>
        <v>250202523</v>
      </c>
      <c r="F19" s="98" t="s">
        <v>109</v>
      </c>
      <c r="G19" s="79"/>
      <c r="H19" s="79"/>
      <c r="I19" s="234">
        <f>G19+H19</f>
        <v>0</v>
      </c>
      <c r="J19" s="550"/>
    </row>
    <row r="20" spans="1:10" ht="12.75" customHeight="1">
      <c r="A20" s="99" t="s">
        <v>17</v>
      </c>
      <c r="B20" s="98" t="s">
        <v>117</v>
      </c>
      <c r="C20" s="40">
        <v>239629667</v>
      </c>
      <c r="D20" s="40">
        <v>10572856</v>
      </c>
      <c r="E20" s="231">
        <f>C20+D20</f>
        <v>250202523</v>
      </c>
      <c r="F20" s="98" t="s">
        <v>261</v>
      </c>
      <c r="G20" s="40"/>
      <c r="H20" s="40"/>
      <c r="I20" s="235">
        <f aca="true" t="shared" si="2" ref="I20:I28">G20+H20</f>
        <v>0</v>
      </c>
      <c r="J20" s="550"/>
    </row>
    <row r="21" spans="1:10" ht="12.75" customHeight="1">
      <c r="A21" s="99" t="s">
        <v>18</v>
      </c>
      <c r="B21" s="98" t="s">
        <v>118</v>
      </c>
      <c r="C21" s="40"/>
      <c r="D21" s="40"/>
      <c r="E21" s="231">
        <f>C21+D21</f>
        <v>0</v>
      </c>
      <c r="F21" s="98" t="s">
        <v>85</v>
      </c>
      <c r="G21" s="40"/>
      <c r="H21" s="40"/>
      <c r="I21" s="235">
        <f t="shared" si="2"/>
        <v>0</v>
      </c>
      <c r="J21" s="550"/>
    </row>
    <row r="22" spans="1:10" ht="12.75" customHeight="1">
      <c r="A22" s="99" t="s">
        <v>19</v>
      </c>
      <c r="B22" s="98" t="s">
        <v>122</v>
      </c>
      <c r="C22" s="40"/>
      <c r="D22" s="40"/>
      <c r="E22" s="231">
        <f>C22+D22</f>
        <v>0</v>
      </c>
      <c r="F22" s="98" t="s">
        <v>86</v>
      </c>
      <c r="G22" s="40"/>
      <c r="H22" s="40"/>
      <c r="I22" s="235">
        <f t="shared" si="2"/>
        <v>0</v>
      </c>
      <c r="J22" s="550"/>
    </row>
    <row r="23" spans="1:10" ht="12.75" customHeight="1">
      <c r="A23" s="99" t="s">
        <v>20</v>
      </c>
      <c r="B23" s="104" t="s">
        <v>128</v>
      </c>
      <c r="C23" s="40"/>
      <c r="D23" s="40"/>
      <c r="E23" s="231">
        <f>C23+D23</f>
        <v>0</v>
      </c>
      <c r="F23" s="97" t="s">
        <v>124</v>
      </c>
      <c r="G23" s="40"/>
      <c r="H23" s="40"/>
      <c r="I23" s="235">
        <f t="shared" si="2"/>
        <v>0</v>
      </c>
      <c r="J23" s="550"/>
    </row>
    <row r="24" spans="1:10" ht="12.75" customHeight="1">
      <c r="A24" s="99" t="s">
        <v>21</v>
      </c>
      <c r="B24" s="98" t="s">
        <v>260</v>
      </c>
      <c r="C24" s="100">
        <f>+C25+C26</f>
        <v>0</v>
      </c>
      <c r="D24" s="100">
        <f>+D25+D26</f>
        <v>0</v>
      </c>
      <c r="E24" s="100">
        <f>+E25+E26</f>
        <v>0</v>
      </c>
      <c r="F24" s="98" t="s">
        <v>110</v>
      </c>
      <c r="G24" s="40"/>
      <c r="H24" s="40"/>
      <c r="I24" s="235">
        <f t="shared" si="2"/>
        <v>0</v>
      </c>
      <c r="J24" s="550"/>
    </row>
    <row r="25" spans="1:10" ht="12.75" customHeight="1">
      <c r="A25" s="96" t="s">
        <v>22</v>
      </c>
      <c r="B25" s="97" t="s">
        <v>258</v>
      </c>
      <c r="C25" s="79"/>
      <c r="D25" s="79"/>
      <c r="E25" s="232">
        <f>C25+D25</f>
        <v>0</v>
      </c>
      <c r="F25" s="91" t="s">
        <v>318</v>
      </c>
      <c r="G25" s="79"/>
      <c r="H25" s="79"/>
      <c r="I25" s="234">
        <f t="shared" si="2"/>
        <v>0</v>
      </c>
      <c r="J25" s="550"/>
    </row>
    <row r="26" spans="1:10" ht="12.75" customHeight="1">
      <c r="A26" s="99" t="s">
        <v>23</v>
      </c>
      <c r="B26" s="104" t="s">
        <v>509</v>
      </c>
      <c r="C26" s="40"/>
      <c r="D26" s="40"/>
      <c r="E26" s="231">
        <f>C26+D26</f>
        <v>0</v>
      </c>
      <c r="F26" s="93" t="s">
        <v>324</v>
      </c>
      <c r="G26" s="40"/>
      <c r="H26" s="40"/>
      <c r="I26" s="235">
        <f t="shared" si="2"/>
        <v>0</v>
      </c>
      <c r="J26" s="550"/>
    </row>
    <row r="27" spans="1:10" ht="12.75" customHeight="1">
      <c r="A27" s="92" t="s">
        <v>24</v>
      </c>
      <c r="B27" s="98" t="s">
        <v>419</v>
      </c>
      <c r="C27" s="40"/>
      <c r="D27" s="40"/>
      <c r="E27" s="231">
        <f>C27+D27</f>
        <v>0</v>
      </c>
      <c r="F27" s="93" t="s">
        <v>325</v>
      </c>
      <c r="G27" s="40"/>
      <c r="H27" s="40"/>
      <c r="I27" s="235">
        <f t="shared" si="2"/>
        <v>0</v>
      </c>
      <c r="J27" s="550"/>
    </row>
    <row r="28" spans="1:10" ht="12.75" customHeight="1" thickBot="1">
      <c r="A28" s="121" t="s">
        <v>25</v>
      </c>
      <c r="B28" s="97" t="s">
        <v>216</v>
      </c>
      <c r="C28" s="79"/>
      <c r="D28" s="79"/>
      <c r="E28" s="232">
        <f>C28+D28</f>
        <v>0</v>
      </c>
      <c r="F28" s="149" t="s">
        <v>253</v>
      </c>
      <c r="G28" s="471">
        <v>5477666</v>
      </c>
      <c r="H28" s="79"/>
      <c r="I28" s="234">
        <f t="shared" si="2"/>
        <v>5477666</v>
      </c>
      <c r="J28" s="550"/>
    </row>
    <row r="29" spans="1:10" ht="24" customHeight="1" thickBot="1">
      <c r="A29" s="95" t="s">
        <v>26</v>
      </c>
      <c r="B29" s="47" t="s">
        <v>337</v>
      </c>
      <c r="C29" s="78">
        <f>+C19+C24+C27+C28</f>
        <v>239629667</v>
      </c>
      <c r="D29" s="78">
        <f>+D19+D24+D27+D28</f>
        <v>10572856</v>
      </c>
      <c r="E29" s="202">
        <f>+E19+E24+E27+E28</f>
        <v>250202523</v>
      </c>
      <c r="F29" s="47" t="s">
        <v>339</v>
      </c>
      <c r="G29" s="78">
        <f>SUM(G19:G28)</f>
        <v>5477666</v>
      </c>
      <c r="H29" s="78">
        <f>SUM(H19:H28)</f>
        <v>0</v>
      </c>
      <c r="I29" s="111">
        <f>SUM(I19:I28)</f>
        <v>5477666</v>
      </c>
      <c r="J29" s="550"/>
    </row>
    <row r="30" spans="1:10" ht="13.5" thickBot="1">
      <c r="A30" s="95" t="s">
        <v>27</v>
      </c>
      <c r="B30" s="101" t="s">
        <v>338</v>
      </c>
      <c r="C30" s="241">
        <f>+C18+C29</f>
        <v>707071462</v>
      </c>
      <c r="D30" s="241">
        <f>+D18+D29</f>
        <v>20823626</v>
      </c>
      <c r="E30" s="242">
        <f>+E18+E29</f>
        <v>727895088</v>
      </c>
      <c r="F30" s="101" t="s">
        <v>340</v>
      </c>
      <c r="G30" s="241">
        <f>+G18+G29</f>
        <v>680644259</v>
      </c>
      <c r="H30" s="241">
        <f>+H18+H29</f>
        <v>6572413</v>
      </c>
      <c r="I30" s="242">
        <f>+I18+I29</f>
        <v>687216672</v>
      </c>
      <c r="J30" s="550"/>
    </row>
    <row r="31" spans="1:10" ht="13.5" thickBot="1">
      <c r="A31" s="95" t="s">
        <v>28</v>
      </c>
      <c r="B31" s="101" t="s">
        <v>87</v>
      </c>
      <c r="C31" s="241">
        <f>IF(C18-G18&lt;0,G18-C18,"-")</f>
        <v>207724798</v>
      </c>
      <c r="D31" s="241" t="str">
        <f>IF(D18-H18&lt;0,H18-D18,"-")</f>
        <v>-</v>
      </c>
      <c r="E31" s="242">
        <f>IF(E18-I18&lt;0,I18-E18,"-")</f>
        <v>204046441</v>
      </c>
      <c r="F31" s="101" t="s">
        <v>88</v>
      </c>
      <c r="G31" s="241" t="str">
        <f>IF(C18-G18&gt;0,C18-G18,"-")</f>
        <v>-</v>
      </c>
      <c r="H31" s="241">
        <f>IF(D18-H18&gt;0,D18-H18,"-")</f>
        <v>3678357</v>
      </c>
      <c r="I31" s="242" t="str">
        <f>IF(E18-I18&gt;0,E18-I18,"-")</f>
        <v>-</v>
      </c>
      <c r="J31" s="550"/>
    </row>
    <row r="32" spans="1:10" ht="13.5" thickBot="1">
      <c r="A32" s="95" t="s">
        <v>29</v>
      </c>
      <c r="B32" s="101" t="s">
        <v>425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1" t="s">
        <v>426</v>
      </c>
      <c r="G32" s="241">
        <f>IF(C30-G30&gt;0,C30-G30,"-")</f>
        <v>26427203</v>
      </c>
      <c r="H32" s="241">
        <f>IF(D30-H30&gt;0,D30-H30,"-")</f>
        <v>14251213</v>
      </c>
      <c r="I32" s="243">
        <f>IF(E30-I30&gt;0,E30-I30,"-")</f>
        <v>40678416</v>
      </c>
      <c r="J32" s="550"/>
    </row>
    <row r="33" spans="2:6" ht="18.75">
      <c r="B33" s="551"/>
      <c r="C33" s="551"/>
      <c r="D33" s="551"/>
      <c r="E33" s="551"/>
      <c r="F33" s="55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H12" sqref="H12"/>
    </sheetView>
  </sheetViews>
  <sheetFormatPr defaultColWidth="9.00390625" defaultRowHeight="12.75"/>
  <cols>
    <col min="1" max="1" width="6.875" style="33" customWidth="1"/>
    <col min="2" max="2" width="49.875" style="5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440</v>
      </c>
      <c r="C1" s="80"/>
      <c r="D1" s="80"/>
      <c r="E1" s="80"/>
      <c r="F1" s="80"/>
      <c r="G1" s="80"/>
      <c r="H1" s="80"/>
      <c r="I1" s="80"/>
      <c r="J1" s="550" t="str">
        <f>CONCATENATE("6. melléklet ",RM_ALAPADATOK!A7," ",RM_ALAPADATOK!B7," ",RM_ALAPADATOK!C7," ",RM_ALAPADATOK!D7," ",RM_ALAPADATOK!E7," ",RM_ALAPADATOK!F7," ",RM_ALAPADATOK!G7," ",RM_ALAPADATOK!H7)</f>
        <v>6. melléklet a  / 2023 ( … ) önkormányzati rendelethez</v>
      </c>
    </row>
    <row r="2" spans="7:10" ht="14.25" thickBot="1">
      <c r="G2" s="81"/>
      <c r="H2" s="81"/>
      <c r="I2" s="81" t="str">
        <f>'5.sz.mell.'!I2</f>
        <v>Forintban!</v>
      </c>
      <c r="J2" s="550"/>
    </row>
    <row r="3" spans="1:10" ht="13.5" customHeight="1" thickBot="1">
      <c r="A3" s="548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0"/>
    </row>
    <row r="4" spans="1:10" s="85" customFormat="1" ht="36.75" thickBot="1">
      <c r="A4" s="549"/>
      <c r="B4" s="55" t="s">
        <v>39</v>
      </c>
      <c r="C4" s="291" t="str">
        <f>+CONCATENATE('1.sz.mell.'!C8," eredeti előirányzat")</f>
        <v>2023. évi eredeti előirányzat</v>
      </c>
      <c r="D4" s="430" t="str">
        <f>CONCATENATE('5.sz.mell.'!D4)</f>
        <v>Halmozott módosítás </v>
      </c>
      <c r="E4" s="430" t="str">
        <f>+CONCATENATE(LEFT('1.sz.mell.'!C8,4),". I.Módosítás után")</f>
        <v>2023. I.Módosítás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I.Módosítás után</v>
      </c>
      <c r="J4" s="550"/>
    </row>
    <row r="5" spans="1:10" s="85" customFormat="1" ht="13.5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0"/>
    </row>
    <row r="6" spans="1:10" ht="12.75" customHeight="1">
      <c r="A6" s="90" t="s">
        <v>3</v>
      </c>
      <c r="B6" s="91" t="s">
        <v>263</v>
      </c>
      <c r="C6" s="74">
        <v>95604930</v>
      </c>
      <c r="D6" s="74">
        <v>99274511</v>
      </c>
      <c r="E6" s="229">
        <f>C6+D6</f>
        <v>194879441</v>
      </c>
      <c r="F6" s="91" t="s">
        <v>119</v>
      </c>
      <c r="G6" s="469">
        <v>117796696</v>
      </c>
      <c r="H6" s="207">
        <v>109860970</v>
      </c>
      <c r="I6" s="236">
        <f>G6+H6</f>
        <v>227657666</v>
      </c>
      <c r="J6" s="550"/>
    </row>
    <row r="7" spans="1:10" ht="12.75">
      <c r="A7" s="92" t="s">
        <v>4</v>
      </c>
      <c r="B7" s="93" t="s">
        <v>264</v>
      </c>
      <c r="C7" s="75">
        <v>95274530</v>
      </c>
      <c r="D7" s="75">
        <v>95274511</v>
      </c>
      <c r="E7" s="229">
        <f aca="true" t="shared" si="0" ref="E7:E16">C7+D7</f>
        <v>190549041</v>
      </c>
      <c r="F7" s="93" t="s">
        <v>269</v>
      </c>
      <c r="G7" s="470">
        <v>93314896</v>
      </c>
      <c r="H7" s="75">
        <v>102796090</v>
      </c>
      <c r="I7" s="237">
        <f aca="true" t="shared" si="1" ref="I7:I29">G7+H7</f>
        <v>196110986</v>
      </c>
      <c r="J7" s="550"/>
    </row>
    <row r="8" spans="1:10" ht="12.75" customHeight="1">
      <c r="A8" s="92" t="s">
        <v>5</v>
      </c>
      <c r="B8" s="93" t="s">
        <v>0</v>
      </c>
      <c r="C8" s="75"/>
      <c r="D8" s="75"/>
      <c r="E8" s="229">
        <f t="shared" si="0"/>
        <v>0</v>
      </c>
      <c r="F8" s="93" t="s">
        <v>105</v>
      </c>
      <c r="G8" s="470"/>
      <c r="H8" s="75">
        <v>3664628</v>
      </c>
      <c r="I8" s="237">
        <f t="shared" si="1"/>
        <v>3664628</v>
      </c>
      <c r="J8" s="550"/>
    </row>
    <row r="9" spans="1:10" ht="12.75" customHeight="1">
      <c r="A9" s="92" t="s">
        <v>6</v>
      </c>
      <c r="B9" s="93" t="s">
        <v>265</v>
      </c>
      <c r="C9" s="75"/>
      <c r="D9" s="75"/>
      <c r="E9" s="229">
        <f t="shared" si="0"/>
        <v>0</v>
      </c>
      <c r="F9" s="93" t="s">
        <v>270</v>
      </c>
      <c r="G9" s="470"/>
      <c r="H9" s="75"/>
      <c r="I9" s="237">
        <f t="shared" si="1"/>
        <v>0</v>
      </c>
      <c r="J9" s="550"/>
    </row>
    <row r="10" spans="1:10" ht="12.75" customHeight="1">
      <c r="A10" s="92" t="s">
        <v>7</v>
      </c>
      <c r="B10" s="93" t="s">
        <v>266</v>
      </c>
      <c r="C10" s="75"/>
      <c r="D10" s="75"/>
      <c r="E10" s="229">
        <f t="shared" si="0"/>
        <v>0</v>
      </c>
      <c r="F10" s="93" t="s">
        <v>121</v>
      </c>
      <c r="G10" s="470">
        <v>4235437</v>
      </c>
      <c r="H10" s="75">
        <v>126</v>
      </c>
      <c r="I10" s="237">
        <f t="shared" si="1"/>
        <v>4235563</v>
      </c>
      <c r="J10" s="550"/>
    </row>
    <row r="11" spans="1:10" ht="12.75" customHeight="1">
      <c r="A11" s="92" t="s">
        <v>8</v>
      </c>
      <c r="B11" s="93" t="s">
        <v>267</v>
      </c>
      <c r="C11" s="76"/>
      <c r="D11" s="76"/>
      <c r="E11" s="229">
        <f t="shared" si="0"/>
        <v>0</v>
      </c>
      <c r="F11" s="150"/>
      <c r="G11" s="470">
        <v>7856801</v>
      </c>
      <c r="H11" s="75"/>
      <c r="I11" s="237">
        <f t="shared" si="1"/>
        <v>7856801</v>
      </c>
      <c r="J11" s="550"/>
    </row>
    <row r="12" spans="1:10" ht="12.75" customHeight="1">
      <c r="A12" s="92" t="s">
        <v>9</v>
      </c>
      <c r="B12" s="29"/>
      <c r="C12" s="75"/>
      <c r="D12" s="75"/>
      <c r="E12" s="229">
        <f t="shared" si="0"/>
        <v>0</v>
      </c>
      <c r="F12" s="150"/>
      <c r="G12" s="75"/>
      <c r="H12" s="75"/>
      <c r="I12" s="237">
        <f t="shared" si="1"/>
        <v>0</v>
      </c>
      <c r="J12" s="550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151"/>
      <c r="G13" s="75"/>
      <c r="H13" s="75"/>
      <c r="I13" s="237">
        <f t="shared" si="1"/>
        <v>0</v>
      </c>
      <c r="J13" s="550"/>
    </row>
    <row r="14" spans="1:10" ht="12.75" customHeight="1">
      <c r="A14" s="92" t="s">
        <v>11</v>
      </c>
      <c r="B14" s="148"/>
      <c r="C14" s="76"/>
      <c r="D14" s="76"/>
      <c r="E14" s="229">
        <f t="shared" si="0"/>
        <v>0</v>
      </c>
      <c r="F14" s="150"/>
      <c r="G14" s="75"/>
      <c r="H14" s="75"/>
      <c r="I14" s="237">
        <f t="shared" si="1"/>
        <v>0</v>
      </c>
      <c r="J14" s="550"/>
    </row>
    <row r="15" spans="1:10" ht="12.75">
      <c r="A15" s="92" t="s">
        <v>12</v>
      </c>
      <c r="B15" s="29"/>
      <c r="C15" s="76"/>
      <c r="D15" s="76"/>
      <c r="E15" s="229">
        <f t="shared" si="0"/>
        <v>0</v>
      </c>
      <c r="F15" s="150"/>
      <c r="G15" s="75"/>
      <c r="H15" s="75"/>
      <c r="I15" s="237">
        <f t="shared" si="1"/>
        <v>0</v>
      </c>
      <c r="J15" s="550"/>
    </row>
    <row r="16" spans="1:10" ht="12.75" customHeight="1" thickBot="1">
      <c r="A16" s="121" t="s">
        <v>13</v>
      </c>
      <c r="B16" s="149"/>
      <c r="C16" s="123"/>
      <c r="D16" s="123"/>
      <c r="E16" s="229">
        <f t="shared" si="0"/>
        <v>0</v>
      </c>
      <c r="F16" s="122" t="s">
        <v>33</v>
      </c>
      <c r="G16" s="205"/>
      <c r="H16" s="205"/>
      <c r="I16" s="238">
        <f t="shared" si="1"/>
        <v>0</v>
      </c>
      <c r="J16" s="550"/>
    </row>
    <row r="17" spans="1:10" ht="15.75" customHeight="1" thickBot="1">
      <c r="A17" s="95" t="s">
        <v>14</v>
      </c>
      <c r="B17" s="47" t="s">
        <v>277</v>
      </c>
      <c r="C17" s="78">
        <f>+C6+C8+C9+C11+C12+C13+C14+C15+C16</f>
        <v>95604930</v>
      </c>
      <c r="D17" s="78">
        <f>+D6+D8+D9+D11+D12+D13+D14+D15+D16</f>
        <v>99274511</v>
      </c>
      <c r="E17" s="78">
        <f>+E6+E8+E9+E11+E12+E13+E14+E15+E16</f>
        <v>194879441</v>
      </c>
      <c r="F17" s="47" t="s">
        <v>278</v>
      </c>
      <c r="G17" s="78">
        <f>+G6+G8+G10+G11+G12+G13+G14+G15+G16</f>
        <v>129888934</v>
      </c>
      <c r="H17" s="78">
        <f>+H6+H8+H10+H11+H12+H13+H14+H15+H16</f>
        <v>113525724</v>
      </c>
      <c r="I17" s="111">
        <f>+I6+I8+I10+I11+I12+I13+I14+I15+I16</f>
        <v>243414658</v>
      </c>
      <c r="J17" s="550"/>
    </row>
    <row r="18" spans="1:10" ht="12.75" customHeight="1">
      <c r="A18" s="90" t="s">
        <v>15</v>
      </c>
      <c r="B18" s="103" t="s">
        <v>136</v>
      </c>
      <c r="C18" s="110">
        <f>+C19+C20+C21+C22+C23</f>
        <v>7856801</v>
      </c>
      <c r="D18" s="110">
        <f>+D19+D20+D21+D22+D23</f>
        <v>0</v>
      </c>
      <c r="E18" s="110">
        <f>+E19+E20+E21+E22+E23</f>
        <v>7856801</v>
      </c>
      <c r="F18" s="98" t="s">
        <v>109</v>
      </c>
      <c r="G18" s="206"/>
      <c r="H18" s="206"/>
      <c r="I18" s="239">
        <f t="shared" si="1"/>
        <v>0</v>
      </c>
      <c r="J18" s="550"/>
    </row>
    <row r="19" spans="1:10" ht="12.75" customHeight="1">
      <c r="A19" s="92" t="s">
        <v>16</v>
      </c>
      <c r="B19" s="104" t="s">
        <v>125</v>
      </c>
      <c r="C19" s="40">
        <v>7856801</v>
      </c>
      <c r="D19" s="40"/>
      <c r="E19" s="231">
        <f aca="true" t="shared" si="2" ref="E19:E29">C19+D19</f>
        <v>7856801</v>
      </c>
      <c r="F19" s="98" t="s">
        <v>112</v>
      </c>
      <c r="G19" s="40"/>
      <c r="H19" s="40"/>
      <c r="I19" s="235">
        <f t="shared" si="1"/>
        <v>0</v>
      </c>
      <c r="J19" s="550"/>
    </row>
    <row r="20" spans="1:10" ht="12.75" customHeight="1">
      <c r="A20" s="90" t="s">
        <v>17</v>
      </c>
      <c r="B20" s="104" t="s">
        <v>126</v>
      </c>
      <c r="C20" s="40"/>
      <c r="D20" s="40"/>
      <c r="E20" s="231">
        <f t="shared" si="2"/>
        <v>0</v>
      </c>
      <c r="F20" s="98" t="s">
        <v>85</v>
      </c>
      <c r="G20" s="40"/>
      <c r="H20" s="40"/>
      <c r="I20" s="235">
        <f t="shared" si="1"/>
        <v>0</v>
      </c>
      <c r="J20" s="550"/>
    </row>
    <row r="21" spans="1:10" ht="12.75" customHeight="1">
      <c r="A21" s="92" t="s">
        <v>18</v>
      </c>
      <c r="B21" s="104" t="s">
        <v>127</v>
      </c>
      <c r="C21" s="40"/>
      <c r="D21" s="40"/>
      <c r="E21" s="231">
        <f t="shared" si="2"/>
        <v>0</v>
      </c>
      <c r="F21" s="98" t="s">
        <v>86</v>
      </c>
      <c r="G21" s="40"/>
      <c r="H21" s="40"/>
      <c r="I21" s="235">
        <f t="shared" si="1"/>
        <v>0</v>
      </c>
      <c r="J21" s="550"/>
    </row>
    <row r="22" spans="1:10" ht="12.75" customHeight="1">
      <c r="A22" s="90" t="s">
        <v>19</v>
      </c>
      <c r="B22" s="104" t="s">
        <v>128</v>
      </c>
      <c r="C22" s="40"/>
      <c r="D22" s="40"/>
      <c r="E22" s="231">
        <f t="shared" si="2"/>
        <v>0</v>
      </c>
      <c r="F22" s="97" t="s">
        <v>124</v>
      </c>
      <c r="G22" s="40"/>
      <c r="H22" s="40"/>
      <c r="I22" s="235">
        <f t="shared" si="1"/>
        <v>0</v>
      </c>
      <c r="J22" s="550"/>
    </row>
    <row r="23" spans="1:10" ht="12.75" customHeight="1">
      <c r="A23" s="92" t="s">
        <v>20</v>
      </c>
      <c r="B23" s="105" t="s">
        <v>129</v>
      </c>
      <c r="C23" s="40"/>
      <c r="D23" s="40"/>
      <c r="E23" s="231">
        <f t="shared" si="2"/>
        <v>0</v>
      </c>
      <c r="F23" s="98" t="s">
        <v>113</v>
      </c>
      <c r="G23" s="40"/>
      <c r="H23" s="40"/>
      <c r="I23" s="235">
        <f t="shared" si="1"/>
        <v>0</v>
      </c>
      <c r="J23" s="550"/>
    </row>
    <row r="24" spans="1:10" ht="12.75" customHeight="1">
      <c r="A24" s="90" t="s">
        <v>21</v>
      </c>
      <c r="B24" s="106" t="s">
        <v>130</v>
      </c>
      <c r="C24" s="100">
        <f>+C25+C26+C27+C28+C29</f>
        <v>0</v>
      </c>
      <c r="D24" s="100">
        <f>+D25+D26+D27+D28+D29</f>
        <v>0</v>
      </c>
      <c r="E24" s="100">
        <f>+E25+E26+E27+E28+E29</f>
        <v>0</v>
      </c>
      <c r="F24" s="107" t="s">
        <v>111</v>
      </c>
      <c r="G24" s="40"/>
      <c r="H24" s="40"/>
      <c r="I24" s="235">
        <f t="shared" si="1"/>
        <v>0</v>
      </c>
      <c r="J24" s="550"/>
    </row>
    <row r="25" spans="1:10" ht="12.75" customHeight="1">
      <c r="A25" s="92" t="s">
        <v>22</v>
      </c>
      <c r="B25" s="105" t="s">
        <v>131</v>
      </c>
      <c r="C25" s="40"/>
      <c r="D25" s="40"/>
      <c r="E25" s="231">
        <f t="shared" si="2"/>
        <v>0</v>
      </c>
      <c r="F25" s="107" t="s">
        <v>271</v>
      </c>
      <c r="G25" s="40"/>
      <c r="H25" s="40"/>
      <c r="I25" s="235">
        <f t="shared" si="1"/>
        <v>0</v>
      </c>
      <c r="J25" s="550"/>
    </row>
    <row r="26" spans="1:10" ht="12.75" customHeight="1">
      <c r="A26" s="90" t="s">
        <v>23</v>
      </c>
      <c r="B26" s="105" t="s">
        <v>132</v>
      </c>
      <c r="C26" s="40"/>
      <c r="D26" s="40"/>
      <c r="E26" s="231">
        <f t="shared" si="2"/>
        <v>0</v>
      </c>
      <c r="F26" s="102"/>
      <c r="G26" s="40"/>
      <c r="H26" s="40"/>
      <c r="I26" s="235">
        <f t="shared" si="1"/>
        <v>0</v>
      </c>
      <c r="J26" s="550"/>
    </row>
    <row r="27" spans="1:10" ht="12.75" customHeight="1">
      <c r="A27" s="92" t="s">
        <v>24</v>
      </c>
      <c r="B27" s="104" t="s">
        <v>133</v>
      </c>
      <c r="C27" s="40"/>
      <c r="D27" s="40"/>
      <c r="E27" s="231">
        <f t="shared" si="2"/>
        <v>0</v>
      </c>
      <c r="F27" s="45"/>
      <c r="G27" s="40"/>
      <c r="H27" s="40"/>
      <c r="I27" s="235">
        <f t="shared" si="1"/>
        <v>0</v>
      </c>
      <c r="J27" s="550"/>
    </row>
    <row r="28" spans="1:10" ht="12.75" customHeight="1">
      <c r="A28" s="90" t="s">
        <v>25</v>
      </c>
      <c r="B28" s="108" t="s">
        <v>134</v>
      </c>
      <c r="C28" s="40"/>
      <c r="D28" s="40"/>
      <c r="E28" s="231">
        <f t="shared" si="2"/>
        <v>0</v>
      </c>
      <c r="F28" s="29"/>
      <c r="G28" s="40"/>
      <c r="H28" s="40"/>
      <c r="I28" s="235">
        <f t="shared" si="1"/>
        <v>0</v>
      </c>
      <c r="J28" s="550"/>
    </row>
    <row r="29" spans="1:10" ht="12.75" customHeight="1" thickBot="1">
      <c r="A29" s="92" t="s">
        <v>26</v>
      </c>
      <c r="B29" s="109" t="s">
        <v>135</v>
      </c>
      <c r="C29" s="40"/>
      <c r="D29" s="40"/>
      <c r="E29" s="231">
        <f t="shared" si="2"/>
        <v>0</v>
      </c>
      <c r="F29" s="45"/>
      <c r="G29" s="40"/>
      <c r="H29" s="40"/>
      <c r="I29" s="235">
        <f t="shared" si="1"/>
        <v>0</v>
      </c>
      <c r="J29" s="550"/>
    </row>
    <row r="30" spans="1:10" ht="21.75" customHeight="1" thickBot="1">
      <c r="A30" s="95" t="s">
        <v>27</v>
      </c>
      <c r="B30" s="47" t="s">
        <v>268</v>
      </c>
      <c r="C30" s="78">
        <f>+C18+C24</f>
        <v>7856801</v>
      </c>
      <c r="D30" s="78">
        <f>+D18+D24</f>
        <v>0</v>
      </c>
      <c r="E30" s="78">
        <f>+E18+E24</f>
        <v>7856801</v>
      </c>
      <c r="F30" s="47" t="s">
        <v>272</v>
      </c>
      <c r="G30" s="78">
        <f>SUM(G18:G29)</f>
        <v>0</v>
      </c>
      <c r="H30" s="78">
        <f>SUM(H18:H29)</f>
        <v>0</v>
      </c>
      <c r="I30" s="111">
        <f>SUM(I18:I29)</f>
        <v>0</v>
      </c>
      <c r="J30" s="550"/>
    </row>
    <row r="31" spans="1:10" ht="13.5" thickBot="1">
      <c r="A31" s="95" t="s">
        <v>28</v>
      </c>
      <c r="B31" s="101" t="s">
        <v>273</v>
      </c>
      <c r="C31" s="241">
        <f>+C17+C30</f>
        <v>103461731</v>
      </c>
      <c r="D31" s="241">
        <f>+D17+D30</f>
        <v>99274511</v>
      </c>
      <c r="E31" s="242">
        <f>+E17+E30</f>
        <v>202736242</v>
      </c>
      <c r="F31" s="101" t="s">
        <v>274</v>
      </c>
      <c r="G31" s="241">
        <f>+G17+G30</f>
        <v>129888934</v>
      </c>
      <c r="H31" s="241">
        <f>+H17+H30</f>
        <v>113525724</v>
      </c>
      <c r="I31" s="242">
        <f>+I17+I30</f>
        <v>243414658</v>
      </c>
      <c r="J31" s="550"/>
    </row>
    <row r="32" spans="1:10" ht="13.5" thickBot="1">
      <c r="A32" s="95" t="s">
        <v>29</v>
      </c>
      <c r="B32" s="101" t="s">
        <v>87</v>
      </c>
      <c r="C32" s="241">
        <f>IF(C17-G17&lt;0,G17-C17,"-")</f>
        <v>34284004</v>
      </c>
      <c r="D32" s="241">
        <f>IF(D17-H17&lt;0,H17-D17,"-")</f>
        <v>14251213</v>
      </c>
      <c r="E32" s="242">
        <f>IF(E17-I17&lt;0,I17-E17,"-")</f>
        <v>48535217</v>
      </c>
      <c r="F32" s="101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50"/>
    </row>
    <row r="33" spans="1:10" ht="13.5" thickBot="1">
      <c r="A33" s="95" t="s">
        <v>30</v>
      </c>
      <c r="B33" s="101" t="s">
        <v>425</v>
      </c>
      <c r="C33" s="241">
        <f>IF(C31-G31&lt;0,G31-C31,"-")</f>
        <v>26427203</v>
      </c>
      <c r="D33" s="241">
        <f>IF(D31-H31&lt;0,H31-D31,"-")</f>
        <v>14251213</v>
      </c>
      <c r="E33" s="241">
        <f>IF(E31-I31&lt;0,I31-E31,"-")</f>
        <v>40678416</v>
      </c>
      <c r="F33" s="101" t="s">
        <v>426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50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Juhász-Varga Viktória</cp:lastModifiedBy>
  <cp:lastPrinted>2023-06-20T08:02:43Z</cp:lastPrinted>
  <dcterms:created xsi:type="dcterms:W3CDTF">1999-10-30T10:30:45Z</dcterms:created>
  <dcterms:modified xsi:type="dcterms:W3CDTF">2023-06-20T08:04:16Z</dcterms:modified>
  <cp:category/>
  <cp:version/>
  <cp:contentType/>
  <cp:contentStatus/>
</cp:coreProperties>
</file>