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firstSheet="4" activeTab="9"/>
  </bookViews>
  <sheets>
    <sheet name="1.össz.bevétel" sheetId="1" r:id="rId1"/>
    <sheet name="2.megosztott bev." sheetId="2" r:id="rId2"/>
    <sheet name="3.bev.részletes" sheetId="3" r:id="rId3"/>
    <sheet name="4.Állami tám." sheetId="4" r:id="rId4"/>
    <sheet name="5.K kiemelt ei." sheetId="5" r:id="rId5"/>
    <sheet name="6.K megosztás" sheetId="6" r:id="rId6"/>
    <sheet name="7.K.Részletező2" sheetId="7" r:id="rId7"/>
    <sheet name="8. fejlesztés" sheetId="8" r:id="rId8"/>
    <sheet name="9. létszám" sheetId="9" r:id="rId9"/>
    <sheet name="Munka1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'1.össz.bevétel'!$A$1:$I$95</definedName>
    <definedName name="_xlnm.Print_Area" localSheetId="2">'3.bev.részletes'!$A$1:$AE$67</definedName>
    <definedName name="_xlnm.Print_Area" localSheetId="3">'4.Állami tám.'!$A$1:$G$67</definedName>
    <definedName name="_xlnm.Print_Area" localSheetId="4">'5.K kiemelt ei.'!$A$1:$AW$61</definedName>
    <definedName name="_xlnm.Print_Area" localSheetId="7">'8. fejlesztés'!$A$1:$L$147</definedName>
  </definedNames>
  <calcPr fullCalcOnLoad="1"/>
</workbook>
</file>

<file path=xl/sharedStrings.xml><?xml version="1.0" encoding="utf-8"?>
<sst xmlns="http://schemas.openxmlformats.org/spreadsheetml/2006/main" count="1149" uniqueCount="860">
  <si>
    <t>Fejlesztési bevételek</t>
  </si>
  <si>
    <t>Lakásvásárlás törl. (Gagarin)</t>
  </si>
  <si>
    <t>Fejlesztési pénzmaradvány</t>
  </si>
  <si>
    <t xml:space="preserve"> Lakásalap</t>
  </si>
  <si>
    <t>Összesen:</t>
  </si>
  <si>
    <t>Müködési bevételek:</t>
  </si>
  <si>
    <t>ÁT feladatfinanszírozás</t>
  </si>
  <si>
    <t>Építményadó</t>
  </si>
  <si>
    <t>Telekadó</t>
  </si>
  <si>
    <t xml:space="preserve">Idegenforg adó épület után  </t>
  </si>
  <si>
    <t>Pótlék, bírság</t>
  </si>
  <si>
    <t>Kamatbevétel</t>
  </si>
  <si>
    <t>Lakbér</t>
  </si>
  <si>
    <t>Bérleti díj</t>
  </si>
  <si>
    <t>Továbbszámlázott szolg.</t>
  </si>
  <si>
    <t>Nádfedeles bérleti díj</t>
  </si>
  <si>
    <t>Közösségi színterek működtetése</t>
  </si>
  <si>
    <t>Csatorna eszk.haszn.díj</t>
  </si>
  <si>
    <t>Közösségi, társadalmi tevékenység</t>
  </si>
  <si>
    <t>Óvodai int. étk.</t>
  </si>
  <si>
    <t>Iskola intézményi étk.</t>
  </si>
  <si>
    <t>Munkahelyi vendéglátás</t>
  </si>
  <si>
    <t>Szociális étkeztetés</t>
  </si>
  <si>
    <t>Hulladékgazdálkodás</t>
  </si>
  <si>
    <t>Köztemetői feladatok</t>
  </si>
  <si>
    <t>Közhasznú foglalkoztatás</t>
  </si>
  <si>
    <t>Önkormányzat összesen:</t>
  </si>
  <si>
    <t>A</t>
  </si>
  <si>
    <t>B</t>
  </si>
  <si>
    <t>C</t>
  </si>
  <si>
    <t>D</t>
  </si>
  <si>
    <t>E</t>
  </si>
  <si>
    <t>szakfeladat megnevezése</t>
  </si>
  <si>
    <t>Kötelező feladat</t>
  </si>
  <si>
    <t>önként vállalt fel.</t>
  </si>
  <si>
    <t>államig. fel.</t>
  </si>
  <si>
    <t>összesen:</t>
  </si>
  <si>
    <t>Önkormányzat</t>
  </si>
  <si>
    <t>841112 Önkorm.jogalkotás</t>
  </si>
  <si>
    <t>841133 Adó és illetékek kiszabása, ellenőrzése</t>
  </si>
  <si>
    <t>841901 Önkormányzatok elszámolása</t>
  </si>
  <si>
    <t>841358 Turizmusfejlesztés támogatás</t>
  </si>
  <si>
    <t>869041 OEP finanszírozás</t>
  </si>
  <si>
    <t>Önkormányzati feladatok összesen:</t>
  </si>
  <si>
    <t>GEVSZ</t>
  </si>
  <si>
    <t>370000 Szennyvíz gyűjtése, tisztítása, elhelyezése</t>
  </si>
  <si>
    <t>381103 Hulladékgazdálkodás</t>
  </si>
  <si>
    <t>562912 óvodai étkeztetés</t>
  </si>
  <si>
    <t>562913 Iskolai étkeztetés</t>
  </si>
  <si>
    <t>562916 Tábor, vendég</t>
  </si>
  <si>
    <t>562917 Munkahelyi vendéglátás</t>
  </si>
  <si>
    <t>682001 Lakóingatlan bérbeadása</t>
  </si>
  <si>
    <t>682002 Nem lakóingatl. beérbeadása, üzemeltetése</t>
  </si>
  <si>
    <t>841403 Város és községgazdálkodás</t>
  </si>
  <si>
    <t>841154 Önkorm.vagyonnal történő gazd.fel.</t>
  </si>
  <si>
    <t>889921 Szociális étkeztetés</t>
  </si>
  <si>
    <t>890442 Közfoglalkoztatás</t>
  </si>
  <si>
    <t>910502 Közösségi színterek műk</t>
  </si>
  <si>
    <t>960302 Köztemető feladatok</t>
  </si>
  <si>
    <t>GEVSZ összesen</t>
  </si>
  <si>
    <t>G</t>
  </si>
  <si>
    <t>H</t>
  </si>
  <si>
    <t>I</t>
  </si>
  <si>
    <t>J</t>
  </si>
  <si>
    <t>K</t>
  </si>
  <si>
    <t>L</t>
  </si>
  <si>
    <t>M</t>
  </si>
  <si>
    <t>N</t>
  </si>
  <si>
    <t>P</t>
  </si>
  <si>
    <t>R</t>
  </si>
  <si>
    <t>S</t>
  </si>
  <si>
    <t>T</t>
  </si>
  <si>
    <t>U</t>
  </si>
  <si>
    <t>V</t>
  </si>
  <si>
    <t>W</t>
  </si>
  <si>
    <t>X</t>
  </si>
  <si>
    <t>Y</t>
  </si>
  <si>
    <t>Z</t>
  </si>
  <si>
    <t>Megnevezés</t>
  </si>
  <si>
    <t>841122 Önk. jogalkotás</t>
  </si>
  <si>
    <t>841133 Adó,ill.kiszab</t>
  </si>
  <si>
    <t>841901 Önk.elsz.</t>
  </si>
  <si>
    <t>889942 Lakástám.visszatér.</t>
  </si>
  <si>
    <t>869041 Védőnői szolgálat</t>
  </si>
  <si>
    <t>Önkorm.össz.</t>
  </si>
  <si>
    <t>370000 Szennyvíz gyüjtés.</t>
  </si>
  <si>
    <t>381103 Tel.hull.kez.</t>
  </si>
  <si>
    <t>Óvodai étkeztetés 562912</t>
  </si>
  <si>
    <t>Iskolai étkeztetés 562913</t>
  </si>
  <si>
    <t>Munkah.vendégl.562917</t>
  </si>
  <si>
    <t>Tábor, vendég étk. 562916</t>
  </si>
  <si>
    <t>682001 Lakóing.haszn.</t>
  </si>
  <si>
    <t>682002 Nem lakóing.haszn.</t>
  </si>
  <si>
    <t>841154 Gazdasági ell.</t>
  </si>
  <si>
    <t>890442 közfoglalk.</t>
  </si>
  <si>
    <t>890444 Téli közfoglalkoztatás</t>
  </si>
  <si>
    <t>910502 Közöss.színt.műk</t>
  </si>
  <si>
    <t>940000 Családi ünnepek</t>
  </si>
  <si>
    <t>960302 Köztem. fennt.</t>
  </si>
  <si>
    <t>GEVSZ össszesen</t>
  </si>
  <si>
    <t>Teljes Önkormányzat összesen:</t>
  </si>
  <si>
    <t>Alkalmazottak térítése</t>
  </si>
  <si>
    <t>Kamatbevételek</t>
  </si>
  <si>
    <t>Pénzmaradvány</t>
  </si>
  <si>
    <t>Könyvtári támogatás</t>
  </si>
  <si>
    <t>F</t>
  </si>
  <si>
    <t>Szem.juttatás</t>
  </si>
  <si>
    <t>Járulék</t>
  </si>
  <si>
    <t>Dologi kiadások</t>
  </si>
  <si>
    <t>Átadott pénzeszk.</t>
  </si>
  <si>
    <t>Műk. kiadás Össz.</t>
  </si>
  <si>
    <t>Fejlesztésre átadott pe.</t>
  </si>
  <si>
    <t>Fejlesztés</t>
  </si>
  <si>
    <t>Fejlesztés összesen</t>
  </si>
  <si>
    <t>Kiadások összesen</t>
  </si>
  <si>
    <t>Önkormányzat és feladatai összesen:</t>
  </si>
  <si>
    <t>Napköziotthonos Óvoda</t>
  </si>
  <si>
    <t>Szennyvízelvezetés, kezelés</t>
  </si>
  <si>
    <t>Lakóingatlan hasznosítása</t>
  </si>
  <si>
    <t>Nem lakóingatlan üzemeltetése</t>
  </si>
  <si>
    <t>Állategészségügyi tevékenység</t>
  </si>
  <si>
    <t>Utazászervezés, idegenvezetés</t>
  </si>
  <si>
    <t>Közvilágítás</t>
  </si>
  <si>
    <t>Gazdasági ellátó</t>
  </si>
  <si>
    <t>Város és községgazdálkodás</t>
  </si>
  <si>
    <t>Nemzetközi kapcsolatok</t>
  </si>
  <si>
    <t>Közművelődési könyvtár tev.</t>
  </si>
  <si>
    <t>Családi ünnepek szervezése</t>
  </si>
  <si>
    <t>Civil szervezetek támogatása</t>
  </si>
  <si>
    <t>Családsegítés</t>
  </si>
  <si>
    <t>Tanyagondoki szolgálat</t>
  </si>
  <si>
    <t>Család és nővédelmi egészségügyi gondozás</t>
  </si>
  <si>
    <t>Háziorvosi szolgálat</t>
  </si>
  <si>
    <t>Foglalkozásegészségügyi tev.</t>
  </si>
  <si>
    <t>Fogorvosi alapellátás</t>
  </si>
  <si>
    <t>Háziorvosi ügyeleti ellátás</t>
  </si>
  <si>
    <t>Óvodai étkeztetés</t>
  </si>
  <si>
    <t>Iskolai étkeztetés</t>
  </si>
  <si>
    <t>Tábor, vendéglátás</t>
  </si>
  <si>
    <t>Zölterület gondozás</t>
  </si>
  <si>
    <t>Közút karbantartás</t>
  </si>
  <si>
    <t>Épitményüzemeltetés</t>
  </si>
  <si>
    <t>Települési hulladékkezelés</t>
  </si>
  <si>
    <t>Közfoglalkoztatás</t>
  </si>
  <si>
    <t>Téli közfoglalkoztatás</t>
  </si>
  <si>
    <t>Fűrdő és strandszolgáltatás</t>
  </si>
  <si>
    <t>O</t>
  </si>
  <si>
    <t>Q</t>
  </si>
  <si>
    <t>Kötelező önkorm. feladat</t>
  </si>
  <si>
    <t>Önként vállalt feladatok</t>
  </si>
  <si>
    <t>Államigazgatási feladatok</t>
  </si>
  <si>
    <t>Összesített</t>
  </si>
  <si>
    <t>Szakfeladat megnevezése</t>
  </si>
  <si>
    <t>személyi juttatás</t>
  </si>
  <si>
    <t>munkaadót terh.jár.</t>
  </si>
  <si>
    <t>dologi kiadás</t>
  </si>
  <si>
    <t>Átadott pénzeszköz</t>
  </si>
  <si>
    <t xml:space="preserve">fejlesztés </t>
  </si>
  <si>
    <t xml:space="preserve">Köt.feladat összesen </t>
  </si>
  <si>
    <t xml:space="preserve">Önként váll.fel.összesen </t>
  </si>
  <si>
    <t>Államigazg.fel.össz.</t>
  </si>
  <si>
    <t>Személyi juttatások össz.</t>
  </si>
  <si>
    <t>Munkaadót terhelő járulékok össze.</t>
  </si>
  <si>
    <t>Dologi kiadások össz.</t>
  </si>
  <si>
    <t>Fejl. kiadások össz.</t>
  </si>
  <si>
    <t>Önkormányzati jogalkotás</t>
  </si>
  <si>
    <t>KÖH hozzájárulás</t>
  </si>
  <si>
    <t>Óvodai nevelés</t>
  </si>
  <si>
    <t>Gazdasági Ellátó és Vagyongazdálkodó Szervezet</t>
  </si>
  <si>
    <t>Szennyvíz gyűjtése, tisztítása, elhelyezése</t>
  </si>
  <si>
    <t>Telep.hulladék kezelés</t>
  </si>
  <si>
    <t>Közutak, hidak üzemeltetése</t>
  </si>
  <si>
    <t>Vendég, tábor,nyugdíjas</t>
  </si>
  <si>
    <t>Lakóingatlan bérbeadása</t>
  </si>
  <si>
    <t>Nem lakóingatlan bérbeadása, üzemeltetése</t>
  </si>
  <si>
    <t>Állategészségügyi ellátás</t>
  </si>
  <si>
    <t>Utazásszervezés, idegenvezetés</t>
  </si>
  <si>
    <t>Zöldterület gondozás</t>
  </si>
  <si>
    <t>Gazdasági Ellátó</t>
  </si>
  <si>
    <t>Város és Községgazd.m.n.s.egyéb tevékenység</t>
  </si>
  <si>
    <t xml:space="preserve">Iskolai oktatás </t>
  </si>
  <si>
    <t>Háziorvosi alapellátás</t>
  </si>
  <si>
    <t>Foglalkozásegészségügyi tevékenység</t>
  </si>
  <si>
    <t>Tanyagondnoki szolgálat</t>
  </si>
  <si>
    <t>Könyvtári szolgáltatások</t>
  </si>
  <si>
    <t>Közművelődési színterek működtetése</t>
  </si>
  <si>
    <t>Fürdő és strandszolgáltatás</t>
  </si>
  <si>
    <t>Közösségi társadalmi tevékenység</t>
  </si>
  <si>
    <t>AB</t>
  </si>
  <si>
    <t>AC</t>
  </si>
  <si>
    <t>AD</t>
  </si>
  <si>
    <t>AE</t>
  </si>
  <si>
    <t>AF</t>
  </si>
  <si>
    <t>AP</t>
  </si>
  <si>
    <t>AQ</t>
  </si>
  <si>
    <t>AR</t>
  </si>
  <si>
    <t>AT</t>
  </si>
  <si>
    <t>AU</t>
  </si>
  <si>
    <t>AV</t>
  </si>
  <si>
    <t>AW</t>
  </si>
  <si>
    <t>AX</t>
  </si>
  <si>
    <t>AZ</t>
  </si>
  <si>
    <t>680001 Lakóing.haszn.</t>
  </si>
  <si>
    <t>841403 Város és Kg.</t>
  </si>
  <si>
    <t>854234 Szoc.ösztöndíjak</t>
  </si>
  <si>
    <t>841907 Önkorm.elsz.szerv.</t>
  </si>
  <si>
    <t>Önkorm.összesen</t>
  </si>
  <si>
    <t xml:space="preserve">862231 Fogorv. alapell. </t>
  </si>
  <si>
    <t>960302 Köztemető</t>
  </si>
  <si>
    <t>GEVSZ Összesen</t>
  </si>
  <si>
    <t>Teljes önkormányzat</t>
  </si>
  <si>
    <t>Ingatlan karbantartás</t>
  </si>
  <si>
    <t>Egyéb dologi kiadások</t>
  </si>
  <si>
    <t>Felújítás összesen:</t>
  </si>
  <si>
    <t>Helyi önkorm.műk. támogatása</t>
  </si>
  <si>
    <t xml:space="preserve">Zöldterület gondozás </t>
  </si>
  <si>
    <t xml:space="preserve">Közvilágítás </t>
  </si>
  <si>
    <t xml:space="preserve">Köztemetői feladatok </t>
  </si>
  <si>
    <t xml:space="preserve">Közutak fenntartása </t>
  </si>
  <si>
    <t>Összesen</t>
  </si>
  <si>
    <t>beszámítással csökkentett támogatás összesen:</t>
  </si>
  <si>
    <t>Egyéb önkormánzati feladatok</t>
  </si>
  <si>
    <t>Települési önkorm. egyes köznevelési fel.tám.</t>
  </si>
  <si>
    <t>1.</t>
  </si>
  <si>
    <t>Óvoda bértámogatés 8/12</t>
  </si>
  <si>
    <t>Óvoda bértámogatés 4/12</t>
  </si>
  <si>
    <t>2.</t>
  </si>
  <si>
    <t>Óvoda működési tám 8/12</t>
  </si>
  <si>
    <t>Óvoda működési tám 4/12</t>
  </si>
  <si>
    <t>Köznevelési feladatok összesen:</t>
  </si>
  <si>
    <t>Hozzájárulás a pénzbeli szoc.ell.</t>
  </si>
  <si>
    <t>3.</t>
  </si>
  <si>
    <t>Egyes szoc.alapellátások tám.</t>
  </si>
  <si>
    <t>Kistelepülések szoc.felad.tám.</t>
  </si>
  <si>
    <t>5.</t>
  </si>
  <si>
    <t>Gyermekétkeztetés támogatása</t>
  </si>
  <si>
    <t>dolgozók bértámogatása</t>
  </si>
  <si>
    <t>Államkincstár által közöl támogatás össz.</t>
  </si>
  <si>
    <t>Üdülőhelyi feladatok</t>
  </si>
  <si>
    <t>Lakott külterületi feladatok</t>
  </si>
  <si>
    <t>Állami támogatás összesen:</t>
  </si>
  <si>
    <t>Beruházás Áfa:</t>
  </si>
  <si>
    <t>Int.beruházás összesen:</t>
  </si>
  <si>
    <t>Áfa</t>
  </si>
  <si>
    <t>Köztisztviselő</t>
  </si>
  <si>
    <t>Közalkalmazott</t>
  </si>
  <si>
    <t>MT szerint foglalkoztatottt</t>
  </si>
  <si>
    <t>Állandó foglalkoztatottak összesen</t>
  </si>
  <si>
    <t>közmunkaprogr.fogl.</t>
  </si>
  <si>
    <t>Háziorvosi szolgálat közalkalmazott</t>
  </si>
  <si>
    <t>Védőnői szolgálat, közalkalmazott</t>
  </si>
  <si>
    <t>Közösségi színterek műk.</t>
  </si>
  <si>
    <t xml:space="preserve">Közétkeztetés </t>
  </si>
  <si>
    <t>Településüzemeltetés</t>
  </si>
  <si>
    <t>GEVSZ Központ</t>
  </si>
  <si>
    <t>GEVSZ összesen:</t>
  </si>
  <si>
    <t>Önkormányzati feladatok</t>
  </si>
  <si>
    <t xml:space="preserve">Fejlesztésre átadott pénzeszköz </t>
  </si>
  <si>
    <t>Fejlesztésre átadott pénzestköz összesen</t>
  </si>
  <si>
    <t>Felújítás áfa</t>
  </si>
  <si>
    <t>Köztemető fenntartása</t>
  </si>
  <si>
    <t xml:space="preserve">GEVSZ Központ </t>
  </si>
  <si>
    <t>Nettó összesen:</t>
  </si>
  <si>
    <t xml:space="preserve">Intézményi beruházás összesen: </t>
  </si>
  <si>
    <t>Intézményi beruházás</t>
  </si>
  <si>
    <t>Iskola működtetése</t>
  </si>
  <si>
    <t>Munkaadókat terhelő járulékok</t>
  </si>
  <si>
    <t>Tartalék</t>
  </si>
  <si>
    <t>beszámítás</t>
  </si>
  <si>
    <t>Egyéb önkormányzati fel. beszámítás után</t>
  </si>
  <si>
    <t>Lakott külterületi fel. beszámítás után</t>
  </si>
  <si>
    <t>Üdülőhelyi feladatok beszámítás után</t>
  </si>
  <si>
    <t>gyermekétkeztetés üzemeltetés tám.</t>
  </si>
  <si>
    <t>gyermekétkeztetés támogatás össz.</t>
  </si>
  <si>
    <t>Környezetvédelmi Alap</t>
  </si>
  <si>
    <t>Beruházások</t>
  </si>
  <si>
    <t>Iskola hőszigetelése</t>
  </si>
  <si>
    <t>Beruházás összesen:</t>
  </si>
  <si>
    <t>Beruházás Áfa</t>
  </si>
  <si>
    <t>Nettó beruházás összesen:</t>
  </si>
  <si>
    <t xml:space="preserve">Beruházás összesen: </t>
  </si>
  <si>
    <t xml:space="preserve">Lakosságnak lakásvásárlásra, felújításra adott kölcsön </t>
  </si>
  <si>
    <t>Felújítás</t>
  </si>
  <si>
    <t>Nettó felújítás</t>
  </si>
  <si>
    <t>Önkormányzati fejlsztési kiadások összeen:</t>
  </si>
  <si>
    <t>Intézményi beruházás áfa</t>
  </si>
  <si>
    <t>Közétkeztetési részegység</t>
  </si>
  <si>
    <t>Telepüzemeltetési részegység</t>
  </si>
  <si>
    <t>GEVSZ beruházás összesen:</t>
  </si>
  <si>
    <t>GEVSZ nettó beruházás összesen:</t>
  </si>
  <si>
    <t xml:space="preserve">GEVSZ felújítási kiadások </t>
  </si>
  <si>
    <t>GEVSZ nettó felújítás</t>
  </si>
  <si>
    <t xml:space="preserve">GEVSZ felújítás összesen: </t>
  </si>
  <si>
    <t>GEVSZ felhalmozási kiadások összesen:</t>
  </si>
  <si>
    <t>Intézményi berzházás áfa</t>
  </si>
  <si>
    <t>Önkormányzati felhalmozási kiadások összesen</t>
  </si>
  <si>
    <t xml:space="preserve">Önkormányzati felhalmozási kiadások </t>
  </si>
  <si>
    <t>Intézményi felújítás</t>
  </si>
  <si>
    <t>841402 Város és községgazd.</t>
  </si>
  <si>
    <t>890441-890444</t>
  </si>
  <si>
    <t>Óvoda bevételek</t>
  </si>
  <si>
    <t>Működési pénzmaradvány</t>
  </si>
  <si>
    <t>Önkormányzat működési bevétel  összesen:</t>
  </si>
  <si>
    <t>Önkormányzati bevétel  összesen:</t>
  </si>
  <si>
    <t>Napköziotthonos óvoda</t>
  </si>
  <si>
    <t>851011 Óvodai nevelés</t>
  </si>
  <si>
    <t>GEVSZ bevételek 2015</t>
  </si>
  <si>
    <t>AA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</si>
  <si>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</si>
  <si>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</si>
  <si>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</si>
  <si>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</si>
  <si>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</si>
  <si>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</si>
  <si>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</si>
  <si>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</si>
  <si>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</si>
  <si>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AS</t>
  </si>
  <si>
    <t>Elözö évi áll. Tám visszaig.</t>
  </si>
  <si>
    <t>Msz. komm. Adója</t>
  </si>
  <si>
    <t xml:space="preserve">Idegenforg adó tartózk. után  </t>
  </si>
  <si>
    <t>Óvoda összesen</t>
  </si>
  <si>
    <t>Földbérletidíj</t>
  </si>
  <si>
    <t>Müködési pénzmaradvány</t>
  </si>
  <si>
    <t>Vendég, Nyári tábor</t>
  </si>
  <si>
    <t>Müködési bevételek összesen:</t>
  </si>
  <si>
    <t>Óvoda Finanszírozás</t>
  </si>
  <si>
    <t>GEVSZ finanszírozás</t>
  </si>
  <si>
    <t>949900 Családi ünnepek szervezetése</t>
  </si>
  <si>
    <t>Eredeti ei.</t>
  </si>
  <si>
    <t>Iskolai működtetése</t>
  </si>
  <si>
    <t>I/1</t>
  </si>
  <si>
    <t>I/2</t>
  </si>
  <si>
    <t>I/3</t>
  </si>
  <si>
    <t>II.</t>
  </si>
  <si>
    <t>Intézményi beruházás összesen</t>
  </si>
  <si>
    <t>III.</t>
  </si>
  <si>
    <t>II/1</t>
  </si>
  <si>
    <t>Turisztikai Alapból nyútott támogatás</t>
  </si>
  <si>
    <t>II/2</t>
  </si>
  <si>
    <t>Intézményi beruházások</t>
  </si>
  <si>
    <t>számítógép, nyomtató vásárlása</t>
  </si>
  <si>
    <t>II/3</t>
  </si>
  <si>
    <t>Önkormányzatintézményeki összesen:</t>
  </si>
  <si>
    <t>889928 Önkorm.által nyújtott tám.visszatérítés</t>
  </si>
  <si>
    <t>Hozzájárulás Közös önkormányzati hiv.működéséhez</t>
  </si>
  <si>
    <t>Ellátottak pénzbeli juttatásai</t>
  </si>
  <si>
    <t>Lakóingatlan hasznossítása</t>
  </si>
  <si>
    <t>841901 Önkormányzat elszámolásai</t>
  </si>
  <si>
    <t>Kiadások 2016</t>
  </si>
  <si>
    <t>Önkormányzati bevételek 2016.</t>
  </si>
  <si>
    <t>Bevételek megoszlása 2016.</t>
  </si>
  <si>
    <t>Bevételek 2016.</t>
  </si>
  <si>
    <t>Önkorm. vagyonnal kapcs.fel ellátása</t>
  </si>
  <si>
    <t>o5110111</t>
  </si>
  <si>
    <t>Foglalkoztatottak alapilletménye</t>
  </si>
  <si>
    <t>o5110114</t>
  </si>
  <si>
    <t>Egyéb köt.pótlék (vezetői pótlék)</t>
  </si>
  <si>
    <t>o5110115</t>
  </si>
  <si>
    <t>Egyéb felt.fűggő pótlék (ágazati pótlék)</t>
  </si>
  <si>
    <t>o511021</t>
  </si>
  <si>
    <t>o5110412</t>
  </si>
  <si>
    <t>Túlóra, tulmunka, helyettesítés</t>
  </si>
  <si>
    <t>o51106</t>
  </si>
  <si>
    <t xml:space="preserve">Jubileumi jut. </t>
  </si>
  <si>
    <t>o5110713</t>
  </si>
  <si>
    <t>Béren kív.juttatás (Erzsébet ut.)</t>
  </si>
  <si>
    <t>o5110714</t>
  </si>
  <si>
    <t>Béren kív.juttatás (Szépkártya)</t>
  </si>
  <si>
    <t>o511091</t>
  </si>
  <si>
    <t>Közlekedési költségtérítés   1 fő</t>
  </si>
  <si>
    <t>o5111319</t>
  </si>
  <si>
    <t>o511101</t>
  </si>
  <si>
    <t>1. havi illetmény</t>
  </si>
  <si>
    <t>o511</t>
  </si>
  <si>
    <t>Foglalk.személyi juttatásai összesen</t>
  </si>
  <si>
    <t>o512..</t>
  </si>
  <si>
    <t>Választott tisztviselők juttatásai</t>
  </si>
  <si>
    <t>0512..</t>
  </si>
  <si>
    <t>Egyéb jogviszonyban foglalkoztatottak jutt.</t>
  </si>
  <si>
    <t>o512318</t>
  </si>
  <si>
    <t>Reprezentáció</t>
  </si>
  <si>
    <t>o512319</t>
  </si>
  <si>
    <t>Egyéb külső személyi juttatások</t>
  </si>
  <si>
    <t>o512</t>
  </si>
  <si>
    <t>Külső személyi juttatások összesen:</t>
  </si>
  <si>
    <t>o51</t>
  </si>
  <si>
    <t>Személyi juttatás összesen</t>
  </si>
  <si>
    <t>o5211</t>
  </si>
  <si>
    <t>Szoc.hozzáj.adó 27%</t>
  </si>
  <si>
    <t>o5212</t>
  </si>
  <si>
    <t>Rehabilitációs hozzáájárulás</t>
  </si>
  <si>
    <t>o5213</t>
  </si>
  <si>
    <t>Egészségügyi hozzájárulás</t>
  </si>
  <si>
    <t>o5217</t>
  </si>
  <si>
    <t>Munkáltatót terhelő szja</t>
  </si>
  <si>
    <t>o52</t>
  </si>
  <si>
    <t>o531111</t>
  </si>
  <si>
    <t>Gyógyszer, vegyszer</t>
  </si>
  <si>
    <t>o531113</t>
  </si>
  <si>
    <t>Könyv, folyóirat egyéb inf.hord.</t>
  </si>
  <si>
    <t>o531114</t>
  </si>
  <si>
    <t>Folyóirat</t>
  </si>
  <si>
    <t>o531115</t>
  </si>
  <si>
    <t>Egyéb információhordozó</t>
  </si>
  <si>
    <t>o531119</t>
  </si>
  <si>
    <t>Egyéb szakmai anyagok beszerzése</t>
  </si>
  <si>
    <t>o5311</t>
  </si>
  <si>
    <t>Szakmai tev. Összefüggő kiad.össz.</t>
  </si>
  <si>
    <t>o531211</t>
  </si>
  <si>
    <t>Élelmiszer beszerzés</t>
  </si>
  <si>
    <t>o531212</t>
  </si>
  <si>
    <t>irodaszer</t>
  </si>
  <si>
    <t>o531214</t>
  </si>
  <si>
    <t>Hajtó és kenőanyag</t>
  </si>
  <si>
    <t>o531215</t>
  </si>
  <si>
    <t>munkaruha, védőruha</t>
  </si>
  <si>
    <t>o531219</t>
  </si>
  <si>
    <t>Egyéb üzemeltetési anyagok</t>
  </si>
  <si>
    <t>o5312</t>
  </si>
  <si>
    <t xml:space="preserve"> Üzemelt. anyagok besz.össz.:</t>
  </si>
  <si>
    <t>o531</t>
  </si>
  <si>
    <t>Készletbeszerzés összesen</t>
  </si>
  <si>
    <t>o5321</t>
  </si>
  <si>
    <t>Adatátviteli távközlési díjak (internet)</t>
  </si>
  <si>
    <t>o53219</t>
  </si>
  <si>
    <t>Egyén különféle inform.szolg.</t>
  </si>
  <si>
    <t>o5322</t>
  </si>
  <si>
    <t>Nem adatátvitel (telefon)</t>
  </si>
  <si>
    <t>o532</t>
  </si>
  <si>
    <t>Kommunikációs szolgáltatások össz.</t>
  </si>
  <si>
    <t>o533111</t>
  </si>
  <si>
    <t>Villanyszolg. Igénybevétele</t>
  </si>
  <si>
    <t>o533112</t>
  </si>
  <si>
    <t>Gázszolg.</t>
  </si>
  <si>
    <t>o533114</t>
  </si>
  <si>
    <t>Víz- és csatornadíj</t>
  </si>
  <si>
    <t>o5331</t>
  </si>
  <si>
    <t>Közüzemi díjak összesen</t>
  </si>
  <si>
    <t>o5333</t>
  </si>
  <si>
    <t>bérleti és lízingdíjak</t>
  </si>
  <si>
    <t>o53341</t>
  </si>
  <si>
    <t>o533411</t>
  </si>
  <si>
    <t xml:space="preserve">Gépkarbantartás </t>
  </si>
  <si>
    <t>o5334</t>
  </si>
  <si>
    <t>Karbantartás, kisjavítás összesen</t>
  </si>
  <si>
    <t>o5335</t>
  </si>
  <si>
    <t xml:space="preserve">Közvetített szolgáltatások </t>
  </si>
  <si>
    <t>ebből: államháztartáson belül</t>
  </si>
  <si>
    <t>o533611</t>
  </si>
  <si>
    <t>Vásárolt közszolgáltatások</t>
  </si>
  <si>
    <t>o533612</t>
  </si>
  <si>
    <t>Számlázottszellemi tevékenység</t>
  </si>
  <si>
    <t>o5336</t>
  </si>
  <si>
    <t xml:space="preserve">Szakmai tevékenységet segítő szolgáltatások </t>
  </si>
  <si>
    <t>o533711</t>
  </si>
  <si>
    <t>Biztosítási díjak</t>
  </si>
  <si>
    <t>o533712</t>
  </si>
  <si>
    <t>OTP Közreműködési díj</t>
  </si>
  <si>
    <t>o533713</t>
  </si>
  <si>
    <t>Szállítási szolgáltatások</t>
  </si>
  <si>
    <t>o533719</t>
  </si>
  <si>
    <t>Egyéb üzemeltetési szolgáltatások</t>
  </si>
  <si>
    <t>o5337</t>
  </si>
  <si>
    <t xml:space="preserve">Egyéb szolgáltatások </t>
  </si>
  <si>
    <t>o533</t>
  </si>
  <si>
    <t>Szolgáltatási kiadások összesen</t>
  </si>
  <si>
    <t>o5341</t>
  </si>
  <si>
    <t>Kiküldetések kiadásai</t>
  </si>
  <si>
    <t>o5342</t>
  </si>
  <si>
    <t>Reklám- és propagandakiadások</t>
  </si>
  <si>
    <t>o534</t>
  </si>
  <si>
    <t xml:space="preserve">Kiküldetések, reklám- és propagandakiadások </t>
  </si>
  <si>
    <t>o5351</t>
  </si>
  <si>
    <t>Működési célú előzetesen felszámított általános forgalmi adó</t>
  </si>
  <si>
    <t>o5352</t>
  </si>
  <si>
    <t xml:space="preserve">Fizetendő általános forgalmi adó </t>
  </si>
  <si>
    <t>o5353</t>
  </si>
  <si>
    <t xml:space="preserve">Kamatkiadások </t>
  </si>
  <si>
    <t>o5354</t>
  </si>
  <si>
    <t xml:space="preserve">Egyéb különf.pénzügyi műv. kiadásai </t>
  </si>
  <si>
    <t>o53552</t>
  </si>
  <si>
    <t>díjak, egyéb befizetések</t>
  </si>
  <si>
    <t>o53559</t>
  </si>
  <si>
    <t>egyéb különf. dologi kiadások</t>
  </si>
  <si>
    <t>o5355</t>
  </si>
  <si>
    <t>o535</t>
  </si>
  <si>
    <t xml:space="preserve">Különféle befizetések és egyéb dologi kiadások </t>
  </si>
  <si>
    <t>o53</t>
  </si>
  <si>
    <t>Dologi kiadások összesen</t>
  </si>
  <si>
    <t>o5506</t>
  </si>
  <si>
    <t>Működési célú pénzeszközátadás áht.belül</t>
  </si>
  <si>
    <t>o5512</t>
  </si>
  <si>
    <t>Működési célú pénzeszközátadás áht.kívül non-profit szervezeteknek</t>
  </si>
  <si>
    <t>egyéb civil szervezeteknek</t>
  </si>
  <si>
    <t>háztartásoknak</t>
  </si>
  <si>
    <t>egyéb vállalkozásoknak</t>
  </si>
  <si>
    <t>o551</t>
  </si>
  <si>
    <t xml:space="preserve">Működési célú pénzeszközátadás áht.kívül </t>
  </si>
  <si>
    <t>o55</t>
  </si>
  <si>
    <t>Műk.célú pénzeszk.átadás összesen:</t>
  </si>
  <si>
    <t>o561</t>
  </si>
  <si>
    <t>Immateriális javak beszerzése, létesítése</t>
  </si>
  <si>
    <t>o562</t>
  </si>
  <si>
    <t xml:space="preserve">Ingatlanok beszerzése, létesítése </t>
  </si>
  <si>
    <t>o</t>
  </si>
  <si>
    <t>ebből: termőföld-vásárlás kiadásai</t>
  </si>
  <si>
    <t>o563</t>
  </si>
  <si>
    <t>Informatikai eszközök beszerzése, létesítése</t>
  </si>
  <si>
    <t>o564</t>
  </si>
  <si>
    <t>Egyéb tárgyi eszközök beszerzése, létesítése</t>
  </si>
  <si>
    <t>o567</t>
  </si>
  <si>
    <t>Beruházási célú előzetesen felszámított általános forgalmi adó</t>
  </si>
  <si>
    <t>o56</t>
  </si>
  <si>
    <t>Beruházások összesen</t>
  </si>
  <si>
    <t>o571</t>
  </si>
  <si>
    <t>Ingatlanok felújítása</t>
  </si>
  <si>
    <t>o572</t>
  </si>
  <si>
    <t>Informatikai eszközök felújítása</t>
  </si>
  <si>
    <t>o573</t>
  </si>
  <si>
    <t xml:space="preserve">Egyéb tárgyi eszközök felújítása </t>
  </si>
  <si>
    <t>o574</t>
  </si>
  <si>
    <t>Felújítási célú előzetesen felszámított általános forgalmi adó</t>
  </si>
  <si>
    <t>o57</t>
  </si>
  <si>
    <t>Felújítások összesen</t>
  </si>
  <si>
    <t>o586</t>
  </si>
  <si>
    <t>Felhalm.célú visszatér.tám. Kölcs.nyújtása áht.kívülre háztartásoknak</t>
  </si>
  <si>
    <t>o589</t>
  </si>
  <si>
    <t>Egyéb felhalmozási célú támogatások áht.kívülre egyéb vállalkozások</t>
  </si>
  <si>
    <t>o58</t>
  </si>
  <si>
    <t>Egyéb felhalmozási célú kiadások</t>
  </si>
  <si>
    <t>Költségvetési kiadások összesen</t>
  </si>
  <si>
    <t>2016.évben tervezett felhalmozási kiadások</t>
  </si>
  <si>
    <t xml:space="preserve"> Balatonvilágos Község Önkormányzata 2016</t>
  </si>
  <si>
    <t>Kiadás 2016</t>
  </si>
  <si>
    <t>sorszám</t>
  </si>
  <si>
    <t>841112/018130 Önkorm.jogalkotás</t>
  </si>
  <si>
    <t>o544121</t>
  </si>
  <si>
    <t>helyi megállapítású ápolási díj</t>
  </si>
  <si>
    <t>o544122</t>
  </si>
  <si>
    <t>helyi megállapítású közgyógyellátás</t>
  </si>
  <si>
    <t>Betegséggel kapcsolatos (nem társadalombiztosítási) ellátások</t>
  </si>
  <si>
    <t>o546121</t>
  </si>
  <si>
    <t xml:space="preserve"> Lakásfenntartási támogatás</t>
  </si>
  <si>
    <t>természetben nyújtott lakásfenntartási támogatás</t>
  </si>
  <si>
    <t>o54713</t>
  </si>
  <si>
    <t>Hallgatói és oktatói ösztöndíjak, egyéb jutt</t>
  </si>
  <si>
    <t>o548121</t>
  </si>
  <si>
    <t>egyéb, az önkormányzat rendeletében megállapított juttatás</t>
  </si>
  <si>
    <t>o548122</t>
  </si>
  <si>
    <t xml:space="preserve"> köztemetés [Szoctv. 48.§]</t>
  </si>
  <si>
    <t>rászorultságtól függõ normatív kedvezmények [Gyvt. 151. § (5) bekezdése]</t>
  </si>
  <si>
    <t>o548123</t>
  </si>
  <si>
    <t>önkormányzat által saját hatáskörben (nem szociális és gyermekvédelmi előírások alapján) adott pénzügyi ellátás</t>
  </si>
  <si>
    <t>o548</t>
  </si>
  <si>
    <t>települési támogatás [Szoctv. 45.§]</t>
  </si>
  <si>
    <t>Egyéb nem intézményi ellátások összesen:</t>
  </si>
  <si>
    <t>Ellátottak pénzbeli juttatásaiösszesen</t>
  </si>
  <si>
    <t>o55021</t>
  </si>
  <si>
    <t>A helyi önkormányzatok előző évi elszámolásából származó kiadások</t>
  </si>
  <si>
    <t>o55022</t>
  </si>
  <si>
    <t>A helyi önkormányzatok törvényi előíráson alapuló befizetései</t>
  </si>
  <si>
    <t>o55023</t>
  </si>
  <si>
    <t>Egyéb elvonások, befizetések</t>
  </si>
  <si>
    <t>Elvonások és befizetések (=134+135+136)</t>
  </si>
  <si>
    <t>Lakhatással kapcsolatos ellátások össz.</t>
  </si>
  <si>
    <t>MŰKÖDÉSI KIADÁSOK ÖSSZ.</t>
  </si>
  <si>
    <t>FELHALMOZÁSI KIADÁSOK ÖSSZ.</t>
  </si>
  <si>
    <t>882113/106020 lakásfennt.kapcs.ell.</t>
  </si>
  <si>
    <t>882123 /103010 Elhunyt szem.hátr.tám.</t>
  </si>
  <si>
    <t>882129/107060 Egyéb szoc.term. és pénzb.ell.</t>
  </si>
  <si>
    <t xml:space="preserve">882202/101150 Betegséggel kapcs.ell. </t>
  </si>
  <si>
    <t>Kisértékű tárgyi eszköz beszerzés</t>
  </si>
  <si>
    <t>801115/091010 Óvodai nevelés</t>
  </si>
  <si>
    <t>370000 /052020Szennyvíz gyűjt.</t>
  </si>
  <si>
    <t>381103051030/ Tel.hull.kez.</t>
  </si>
  <si>
    <t>522000/045160 Közutak, hidak üz.</t>
  </si>
  <si>
    <t>562912/096010 Óvodai étk</t>
  </si>
  <si>
    <t>562913/096020 Iskolai étkez.</t>
  </si>
  <si>
    <t>562916/081071 Vendég, tábor étk.</t>
  </si>
  <si>
    <t>562917/ …..Munkh.vend.</t>
  </si>
  <si>
    <t>680001/013350 Lakóing.bérb.</t>
  </si>
  <si>
    <t>680002/013350 Nem lakóing.üz.</t>
  </si>
  <si>
    <t>750000/042180 Állat-eü.ell.</t>
  </si>
  <si>
    <t>841358/047320 Utazásszerv.</t>
  </si>
  <si>
    <t>811000/013350 Építményüz.</t>
  </si>
  <si>
    <t>813000/066010 Zöldter.kez.</t>
  </si>
  <si>
    <t>Normatív jutalom/céljutalom</t>
  </si>
  <si>
    <t>841154/013350 GEVSZ Központ</t>
  </si>
  <si>
    <t>841402/064010 Közvilágítás</t>
  </si>
  <si>
    <t>841403/066020 Város és kg.g.</t>
  </si>
  <si>
    <t>842155/086030 Nemzetközi kapcs.</t>
  </si>
  <si>
    <t>852011/013350 Iskolai oktatás</t>
  </si>
  <si>
    <t>862101/072111 Háziorvosi alapellátás</t>
  </si>
  <si>
    <t>862102/072102 Ügyelet</t>
  </si>
  <si>
    <t>862231/074011 Fogl.eü.tev.</t>
  </si>
  <si>
    <t>869041/074031 Család és nő véd.</t>
  </si>
  <si>
    <t>889921/107051Szoc.étk.</t>
  </si>
  <si>
    <t>889924/107054 Családsegítés</t>
  </si>
  <si>
    <t>889928/107055 Tanyagondnoki sz.</t>
  </si>
  <si>
    <t>890301/084031 Civil sz.tám.</t>
  </si>
  <si>
    <t>890442/041231 Közmunkaprogram</t>
  </si>
  <si>
    <t>890444/041232 Téli közfogl</t>
  </si>
  <si>
    <t>910123/082044 Könyvtári szolg.</t>
  </si>
  <si>
    <t>910502/082092 Közös.színt.műk.</t>
  </si>
  <si>
    <t>932911/081061 Fűrdő és str.</t>
  </si>
  <si>
    <t>949900/013350 Családi ünn.szerv</t>
  </si>
  <si>
    <t>Bérlakás nyílászáró csere</t>
  </si>
  <si>
    <t>Tanulmányterv készítés</t>
  </si>
  <si>
    <t>Strand kiviteli terv</t>
  </si>
  <si>
    <t>Térfigyelő kamera mikróhullámú összeköttetés</t>
  </si>
  <si>
    <t>Redőny és árnyékoló</t>
  </si>
  <si>
    <t>Kisértékű eszközök (mosógép, szárító, szekrények)</t>
  </si>
  <si>
    <t>Udvar átalakítása</t>
  </si>
  <si>
    <t>Önkormányzati épület nyílászáró csere</t>
  </si>
  <si>
    <t>Nyomtató és mosógép vásárlás</t>
  </si>
  <si>
    <t>Kisértékű tárgyi eszköz (lábasok)</t>
  </si>
  <si>
    <t>Építményüzemeltetés</t>
  </si>
  <si>
    <t>Kisértékű te. Beszerzés  (iskola műhely)</t>
  </si>
  <si>
    <t>Magaági gallyozó, CO hegesztő beszerzésss</t>
  </si>
  <si>
    <t>Kerítés felújítása</t>
  </si>
  <si>
    <t>813000</t>
  </si>
  <si>
    <t>Előtetőkészítés</t>
  </si>
  <si>
    <t>Kazán vásárlás</t>
  </si>
  <si>
    <t>Telefonközpont vásárlás</t>
  </si>
  <si>
    <t xml:space="preserve">Játszótére elemek vásárlása </t>
  </si>
  <si>
    <t>Csalogány úti lejáró felújítása</t>
  </si>
  <si>
    <t>Felújítás összesenN</t>
  </si>
  <si>
    <t>Közfogl. Kisértékű eszk.(fűnyíró ….</t>
  </si>
  <si>
    <t>Telekértékesítés</t>
  </si>
  <si>
    <t>Felhalm. Kölcsön törl.</t>
  </si>
  <si>
    <t>gépjármű értékesítés</t>
  </si>
  <si>
    <t>Csatorna hiteltörl.átvett pe.</t>
  </si>
  <si>
    <t>Iparüzési adó</t>
  </si>
  <si>
    <t>Gépjármüadó</t>
  </si>
  <si>
    <t>Talajterhelés</t>
  </si>
  <si>
    <t>Termőföld szja</t>
  </si>
  <si>
    <t>Egyéb saját bevétel</t>
  </si>
  <si>
    <t>KÖH működtetés visszatérítése</t>
  </si>
  <si>
    <t>Túrizmus fejlesztési támogatás</t>
  </si>
  <si>
    <t>TB támogatás (Védőnői sz.)</t>
  </si>
  <si>
    <t>TB Támogatás (háziorvos)</t>
  </si>
  <si>
    <t>PBB-Ingatlanhasznosító</t>
  </si>
  <si>
    <t>Pro-Mot átadott pe.(Főépítész)</t>
  </si>
  <si>
    <t>Önkormányzati bevtelek összesen:</t>
  </si>
  <si>
    <t xml:space="preserve">PrOMOT tám. Rendezési Terv </t>
  </si>
  <si>
    <t>Könyvtár kistérségi támogatás</t>
  </si>
  <si>
    <t>2.sz.mell.</t>
  </si>
  <si>
    <t>I.</t>
  </si>
  <si>
    <t>1.ba</t>
  </si>
  <si>
    <t xml:space="preserve">beszámítással </t>
  </si>
  <si>
    <t>1.bb.</t>
  </si>
  <si>
    <t>1.bc.</t>
  </si>
  <si>
    <t>1.bd.</t>
  </si>
  <si>
    <t>I.1.c)</t>
  </si>
  <si>
    <t>I.1/d)</t>
  </si>
  <si>
    <t>I.1/e</t>
  </si>
  <si>
    <t>Tel.önk. Szociális és egyerekjóléti fel. tám.</t>
  </si>
  <si>
    <t>c.</t>
  </si>
  <si>
    <t>e.</t>
  </si>
  <si>
    <t>Tanyagondnoki szolgáltatás</t>
  </si>
  <si>
    <t>m</t>
  </si>
  <si>
    <t>Szoc. és gyerekjóléti szolg. összesen:</t>
  </si>
  <si>
    <t>Állami támogatás megoszlása 2016 évben</t>
  </si>
  <si>
    <t>o9111</t>
  </si>
  <si>
    <t>Helyi önkormányzatok működésének általános támogatása</t>
  </si>
  <si>
    <t>o9112</t>
  </si>
  <si>
    <t>Települési önkormányzatok egyes köznevelési feladatainak támogatása</t>
  </si>
  <si>
    <t>o9113</t>
  </si>
  <si>
    <t>Települési önkormányzatok szociális, gyermekjóléti  és gyermekétkeztetési feladatainak támogatása</t>
  </si>
  <si>
    <t>o9114</t>
  </si>
  <si>
    <t>Települési önkormányzatok kulturális feladatainak támogatása</t>
  </si>
  <si>
    <t>o9115</t>
  </si>
  <si>
    <t>Működési célú költségvetési támogatások és kiegészítő támogatások</t>
  </si>
  <si>
    <t>o9116</t>
  </si>
  <si>
    <t>Elszámolásból származó bevételek</t>
  </si>
  <si>
    <t>07</t>
  </si>
  <si>
    <t xml:space="preserve">Önkormányzatok működési támogatásai </t>
  </si>
  <si>
    <t>o912</t>
  </si>
  <si>
    <t>Elvonások és befizetések bevételei</t>
  </si>
  <si>
    <t>o91611</t>
  </si>
  <si>
    <t>Mük célú támogatás központi költségvetési szervől</t>
  </si>
  <si>
    <t>o91614</t>
  </si>
  <si>
    <t>társadalombiztosítás pénzügyi alapjai</t>
  </si>
  <si>
    <t>o91616</t>
  </si>
  <si>
    <t>helyi önkormányzatok és költségvetési szerveik</t>
  </si>
  <si>
    <t>o9161</t>
  </si>
  <si>
    <t>társulások és költségvetési szerveik</t>
  </si>
  <si>
    <t>térségi fejlesztési tanácsok és költségvetési szerveik</t>
  </si>
  <si>
    <t xml:space="preserve">Működési célú támogatások államháztartáson belülről </t>
  </si>
  <si>
    <t>o934111</t>
  </si>
  <si>
    <t xml:space="preserve">építményadó </t>
  </si>
  <si>
    <t>o934113</t>
  </si>
  <si>
    <t xml:space="preserve">épület után fizetett idegenforgalmi adó </t>
  </si>
  <si>
    <t>o934114</t>
  </si>
  <si>
    <t>magánszemélyek kommunális adója</t>
  </si>
  <si>
    <t>o934112</t>
  </si>
  <si>
    <t>telekadó</t>
  </si>
  <si>
    <t>o9351121</t>
  </si>
  <si>
    <t>állandó jeleggel végzett iparűzési tevékenység után fizetett helyi iparűzési adó</t>
  </si>
  <si>
    <t>o9354121</t>
  </si>
  <si>
    <t xml:space="preserve">Gépjárműadók </t>
  </si>
  <si>
    <t>o9355121</t>
  </si>
  <si>
    <t xml:space="preserve">tartózkodás után fizetett idegenforgalmi adó </t>
  </si>
  <si>
    <t>o9355131</t>
  </si>
  <si>
    <t>talajterhelési díj</t>
  </si>
  <si>
    <t xml:space="preserve">Önkormányzati adók </t>
  </si>
  <si>
    <t>o936128</t>
  </si>
  <si>
    <t>Adópótlék, bírság</t>
  </si>
  <si>
    <t>o9362114</t>
  </si>
  <si>
    <t xml:space="preserve">Egyéb közhatalmi bevételek </t>
  </si>
  <si>
    <t>Közhatalmi bevételek összesen</t>
  </si>
  <si>
    <t>o940211</t>
  </si>
  <si>
    <t>o940212</t>
  </si>
  <si>
    <t>o940214</t>
  </si>
  <si>
    <t>Egyéb szolgáltatások nyújtása</t>
  </si>
  <si>
    <t>o9402</t>
  </si>
  <si>
    <t>Szolgáltatások ellenértéke összesen</t>
  </si>
  <si>
    <t>o940312</t>
  </si>
  <si>
    <t xml:space="preserve">Közvetített szolgáltatások ellenértéke  </t>
  </si>
  <si>
    <t>o940431</t>
  </si>
  <si>
    <t>lakbér</t>
  </si>
  <si>
    <t>o940433</t>
  </si>
  <si>
    <t>önkorm. vagyon üzemelt.származó bevétel</t>
  </si>
  <si>
    <t>o9404</t>
  </si>
  <si>
    <t>Tulajdonosi bevételek összesen</t>
  </si>
  <si>
    <t>o940511</t>
  </si>
  <si>
    <t>Óvodai étkeztetés bevétele</t>
  </si>
  <si>
    <t>Iskolai étkeztetés bevétele</t>
  </si>
  <si>
    <t>Szociális étkeztetés bevétele</t>
  </si>
  <si>
    <t>o9405</t>
  </si>
  <si>
    <t>Ellátási díjak összesen</t>
  </si>
  <si>
    <t>o94061</t>
  </si>
  <si>
    <t>Kiszámlázott általános forgalmi adó</t>
  </si>
  <si>
    <t>o94082</t>
  </si>
  <si>
    <t>Kamatbevételek áht kívülről</t>
  </si>
  <si>
    <t>o94092</t>
  </si>
  <si>
    <t xml:space="preserve">Egyéb pénzügyi műveletek bevételei </t>
  </si>
  <si>
    <t>o94103</t>
  </si>
  <si>
    <t>Biztosító által fizetett kártérítés</t>
  </si>
  <si>
    <t>o9411</t>
  </si>
  <si>
    <t>Egyéb bevételek, költségek visszatérítései</t>
  </si>
  <si>
    <t>Egyéb bevételek összesen</t>
  </si>
  <si>
    <t>Működési bevételek összesen</t>
  </si>
  <si>
    <t>o965</t>
  </si>
  <si>
    <t>Műk.c.átvett pe.nonprofit gazdasági társaságoktól</t>
  </si>
  <si>
    <t>Műk.c.átvett pe.civil szervezetek</t>
  </si>
  <si>
    <t>Műk.c.átvett pe. háztartások</t>
  </si>
  <si>
    <t>Műk.c.átvett pe. egyéb vállalkozások</t>
  </si>
  <si>
    <t>Működési célú átvett pénzeszközök összsen</t>
  </si>
  <si>
    <t>o952121</t>
  </si>
  <si>
    <t>o952122</t>
  </si>
  <si>
    <t>Egyéb földterület értékesítés</t>
  </si>
  <si>
    <t>o9521..</t>
  </si>
  <si>
    <t>Egyéb tárgyi eszközök értékesítése</t>
  </si>
  <si>
    <t xml:space="preserve">Felhalmozási bevételek </t>
  </si>
  <si>
    <t>o97413</t>
  </si>
  <si>
    <t>Felhalm.sélú visszatér.tám., kölcsönök visszatér.háztartásoktól</t>
  </si>
  <si>
    <t>Egyéb felhalmozási célú átvett pénzeszközök nonprofit szerv</t>
  </si>
  <si>
    <t>Egyéb vállalkozások</t>
  </si>
  <si>
    <t xml:space="preserve">Felhalmozási célú átvett pénzeszközök </t>
  </si>
  <si>
    <t>Felhalmozási bevétele összesen</t>
  </si>
  <si>
    <t>o9816</t>
  </si>
  <si>
    <t>Pénzmaradvány igénybevétel</t>
  </si>
  <si>
    <t xml:space="preserve">Költségvetési bevételek </t>
  </si>
  <si>
    <t>862101 Háziorvosi alapellátás</t>
  </si>
  <si>
    <t>2016. évi terv</t>
  </si>
  <si>
    <t>szeptember 1-től</t>
  </si>
  <si>
    <t>Szirvárvány Óvoda</t>
  </si>
  <si>
    <t>Szivárvány Óvoda összesen</t>
  </si>
  <si>
    <t>Számítógép vásárlása</t>
  </si>
  <si>
    <t>2016. Eredet ei.</t>
  </si>
  <si>
    <t>Mód.ei. 06.30</t>
  </si>
  <si>
    <t>Telj.  06.30.</t>
  </si>
  <si>
    <t>Mód.ei. 06.30.</t>
  </si>
  <si>
    <t>Telj. 06.30.</t>
  </si>
  <si>
    <t>Mód.ei</t>
  </si>
  <si>
    <t>Telj.</t>
  </si>
  <si>
    <t>Perköltség+egyéb bev.</t>
  </si>
  <si>
    <t>Balatonvilágos Jővőjéért Közal.tám.</t>
  </si>
  <si>
    <t xml:space="preserve">Kötvilágítás kialakítás, </t>
  </si>
  <si>
    <t>Eszközök biztosítói kártérítése</t>
  </si>
  <si>
    <t>DRV Át. Megtérítése</t>
  </si>
  <si>
    <t>Előző évi áll.tám.megelőleg. visszavonás</t>
  </si>
  <si>
    <t>Kereset kiegészítés fedezete</t>
  </si>
  <si>
    <t>Mód.ei.</t>
  </si>
  <si>
    <t>telj.</t>
  </si>
  <si>
    <t>Keresetkiegészítés fedezete</t>
  </si>
  <si>
    <t>Háztartások túlfizetése visszafiz.köt.vállalás</t>
  </si>
  <si>
    <t>KGR</t>
  </si>
  <si>
    <t>Bvilagos 524 hrsz. 12/27 rész</t>
  </si>
  <si>
    <t>Településrend.eszk.felülvizsgálata</t>
  </si>
  <si>
    <t>Térfigyelő kamerabeszerzés</t>
  </si>
  <si>
    <t>Kultúr pályázat önrész</t>
  </si>
  <si>
    <t>Konyha felújítás pályázat önrész</t>
  </si>
  <si>
    <t>Belterületi utak felújítása + közbeszerzés+műsz.ell.</t>
  </si>
  <si>
    <t>Orvosi rendelő, védőnői szolg. nyílászázó cseréje+hőszig.+bádogozás</t>
  </si>
  <si>
    <t>Széchényi emléktárgy beszerzés</t>
  </si>
  <si>
    <t>Magyar u. közműegyeztetés</t>
  </si>
  <si>
    <t>Iskola kézil.pálya építés+műsz.ell.</t>
  </si>
  <si>
    <t>Nercedes konténeres autó beszerzés</t>
  </si>
  <si>
    <t>keverőpult + mikrofon besz.</t>
  </si>
  <si>
    <t>Önkormányzati lakóingatlanok hasznosítása</t>
  </si>
  <si>
    <t>Kazánbeszerzés+beszerelés</t>
  </si>
  <si>
    <t>Játszótér világítás</t>
  </si>
  <si>
    <t>Szabadstrand eszközök beszerzése</t>
  </si>
  <si>
    <t>Gyógszertár csoportos mérő kialakítás</t>
  </si>
  <si>
    <t>Felújítás Áfa</t>
  </si>
  <si>
    <t>Felújítás összesen</t>
  </si>
  <si>
    <t>közösségi színterek üzemeltetése</t>
  </si>
  <si>
    <t>Beruházás összesen</t>
  </si>
  <si>
    <t>inétzményi beruh. áfa</t>
  </si>
  <si>
    <t>Festmény várárlás</t>
  </si>
  <si>
    <t>Eszközök érték.(robogó, utánfutó)</t>
  </si>
  <si>
    <t>Közvilgítás E.on visszatérítés</t>
  </si>
  <si>
    <t>egyéb bevétel(újság, ig.szolg.megt.)</t>
  </si>
  <si>
    <t>Szabadidős fürdő és park tevékenység</t>
  </si>
  <si>
    <t>ÁFA</t>
  </si>
  <si>
    <t>Nettó beruházás</t>
  </si>
  <si>
    <t>Önk besz.</t>
  </si>
  <si>
    <t>telj.%</t>
  </si>
  <si>
    <t>Telj.%</t>
  </si>
  <si>
    <t>Önkományzat nettósított összesen:</t>
  </si>
  <si>
    <t>Önkormányzat összesen</t>
  </si>
  <si>
    <t>szeptember 9-től</t>
  </si>
  <si>
    <t>841402 Közvilágítás</t>
  </si>
  <si>
    <t>Egyéb juttatás (ker.kieg.,tanfolyam)</t>
  </si>
  <si>
    <t>Mód.ei. 09.30.</t>
  </si>
  <si>
    <t>Telj. 09.30.</t>
  </si>
  <si>
    <t>2875+776</t>
  </si>
  <si>
    <t>2992+808</t>
  </si>
  <si>
    <t xml:space="preserve">370000 Szennyvíz gyűjtése tisztítása </t>
  </si>
  <si>
    <t>Mód.ei.09.30.</t>
  </si>
  <si>
    <t>Mód. Ei. 09.30.</t>
  </si>
  <si>
    <t>Mód.ei. 09.30</t>
  </si>
  <si>
    <t>Streetball-pálya kiépítése</t>
  </si>
  <si>
    <t>Bisztró felújítés terv+műszaki ell.</t>
  </si>
  <si>
    <t>Orvosi rendelő tetőtérbeépítés terv</t>
  </si>
  <si>
    <t>rászoruló nyári étkeztetése</t>
  </si>
  <si>
    <t>Előző évi elszámolás</t>
  </si>
  <si>
    <t>Közművelődés érdekeltségnövelő tám</t>
  </si>
  <si>
    <t>Kieg.ágazati pótlék</t>
  </si>
  <si>
    <t>Lakossági víz,csatorna</t>
  </si>
  <si>
    <t xml:space="preserve">Bűnmeg.Centrum szállás támogatás </t>
  </si>
  <si>
    <t>kamat bevétel/Kártérítés Mészárosné</t>
  </si>
  <si>
    <t>841403 Város és Községgazd</t>
  </si>
  <si>
    <t>841403 Város és Községgazd.</t>
  </si>
  <si>
    <t>2 db mobil kamera beszerzése</t>
  </si>
  <si>
    <t xml:space="preserve">szept. 22- től </t>
  </si>
  <si>
    <t>október 3-tól</t>
  </si>
  <si>
    <t>2. melléklet</t>
  </si>
  <si>
    <t>1. melléklet</t>
  </si>
  <si>
    <t>3. melléklet</t>
  </si>
  <si>
    <t xml:space="preserve">4. melléklet </t>
  </si>
  <si>
    <t>5. melléklet</t>
  </si>
  <si>
    <t xml:space="preserve">T </t>
  </si>
  <si>
    <t>6. melléklet</t>
  </si>
  <si>
    <t>7 melléklet</t>
  </si>
  <si>
    <t>8. melléklet</t>
  </si>
  <si>
    <t xml:space="preserve">9. melléklet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</si>
</sst>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#"/>
    <numFmt numFmtId="166" formatCode="#"/>
    <numFmt numFmtId="167" formatCode="_-* #,##0\ _F_t_-;\-* #,##0\ _F_t_-;_-* &quot;-&quot;??\ _F_t_-;_-@_-"/>
    <numFmt numFmtId="168" formatCode="0__"/>
    <numFmt numFmtId="169" formatCode="[$-40E]yyyy\.\ mmmm\ d\.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sz val="12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0"/>
    </font>
    <font>
      <sz val="10"/>
      <color indexed="8"/>
      <name val="Arial"/>
      <family val="2"/>
    </font>
    <font>
      <sz val="14"/>
      <name val="Times New Roman CE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Times New Roman CE"/>
      <family val="0"/>
    </font>
    <font>
      <sz val="8"/>
      <name val="Times New Roman CE"/>
      <family val="0"/>
    </font>
    <font>
      <sz val="14"/>
      <name val="Arial"/>
      <family val="2"/>
    </font>
    <font>
      <sz val="10"/>
      <color indexed="10"/>
      <name val="Times New Roman CE"/>
      <family val="1"/>
    </font>
    <font>
      <sz val="12"/>
      <color indexed="10"/>
      <name val="Times New Roman CE"/>
      <family val="1"/>
    </font>
    <font>
      <sz val="11"/>
      <name val="Calibri"/>
      <family val="2"/>
    </font>
    <font>
      <sz val="10"/>
      <color indexed="60"/>
      <name val="Arial"/>
      <family val="2"/>
    </font>
    <font>
      <b/>
      <sz val="18"/>
      <name val="Times New Roman CE"/>
      <family val="0"/>
    </font>
    <font>
      <b/>
      <sz val="16"/>
      <name val="Times New Roman CE"/>
      <family val="0"/>
    </font>
    <font>
      <b/>
      <sz val="11"/>
      <name val="Calibri"/>
      <family val="2"/>
    </font>
    <font>
      <b/>
      <sz val="12"/>
      <name val="Calibri"/>
      <family val="2"/>
    </font>
    <font>
      <b/>
      <i/>
      <sz val="10"/>
      <name val="Arial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i/>
      <sz val="10"/>
      <color indexed="8"/>
      <name val="Arial"/>
      <family val="2"/>
    </font>
    <font>
      <i/>
      <sz val="14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60"/>
      <name val="Times New Roman CE"/>
      <family val="1"/>
    </font>
    <font>
      <b/>
      <sz val="12"/>
      <color indexed="60"/>
      <name val="Times New Roman CE"/>
      <family val="1"/>
    </font>
    <font>
      <b/>
      <sz val="12"/>
      <color indexed="10"/>
      <name val="Times New Roman CE"/>
      <family val="1"/>
    </font>
    <font>
      <b/>
      <sz val="10"/>
      <color indexed="17"/>
      <name val="Times New Roman CE"/>
      <family val="1"/>
    </font>
    <font>
      <sz val="10"/>
      <color indexed="17"/>
      <name val="Times New Roman CE"/>
      <family val="1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color indexed="10"/>
      <name val="Calibri"/>
      <family val="2"/>
    </font>
    <font>
      <sz val="14"/>
      <color indexed="10"/>
      <name val="Arial"/>
      <family val="2"/>
    </font>
    <font>
      <sz val="8"/>
      <color indexed="10"/>
      <name val="Arial CE"/>
      <family val="0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1"/>
    </font>
    <font>
      <sz val="12"/>
      <color rgb="FFC00000"/>
      <name val="Times New Roman CE"/>
      <family val="1"/>
    </font>
    <font>
      <b/>
      <sz val="12"/>
      <color rgb="FFC00000"/>
      <name val="Times New Roman CE"/>
      <family val="1"/>
    </font>
    <font>
      <sz val="12"/>
      <color rgb="FFFF0000"/>
      <name val="Times New Roman CE"/>
      <family val="1"/>
    </font>
    <font>
      <b/>
      <sz val="12"/>
      <color rgb="FFFF0000"/>
      <name val="Times New Roman CE"/>
      <family val="1"/>
    </font>
    <font>
      <b/>
      <sz val="10"/>
      <color rgb="FF00B050"/>
      <name val="Times New Roman CE"/>
      <family val="1"/>
    </font>
    <font>
      <sz val="10"/>
      <color rgb="FF00B050"/>
      <name val="Times New Roman CE"/>
      <family val="1"/>
    </font>
    <font>
      <b/>
      <sz val="11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Calibri"/>
      <family val="2"/>
    </font>
    <font>
      <b/>
      <i/>
      <sz val="12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rgb="FFFF0000"/>
      <name val="Calibri"/>
      <family val="2"/>
    </font>
    <font>
      <sz val="14"/>
      <color rgb="FFFF0000"/>
      <name val="Arial"/>
      <family val="2"/>
    </font>
    <font>
      <sz val="8"/>
      <color rgb="FFFF0000"/>
      <name val="Arial CE"/>
      <family val="0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28" borderId="7" applyNumberFormat="0" applyFont="0" applyAlignment="0" applyProtection="0"/>
    <xf numFmtId="0" fontId="79" fillId="29" borderId="0" applyNumberFormat="0" applyBorder="0" applyAlignment="0" applyProtection="0"/>
    <xf numFmtId="0" fontId="80" fillId="30" borderId="8" applyNumberFormat="0" applyAlignment="0" applyProtection="0"/>
    <xf numFmtId="0" fontId="81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0" fillId="0" borderId="0" applyFont="0" applyFill="0" applyBorder="0" applyAlignment="0" applyProtection="0"/>
  </cellStyleXfs>
  <cellXfs count="38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86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2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10" fillId="0" borderId="10" xfId="54" applyNumberFormat="1" applyFont="1" applyFill="1" applyBorder="1" applyAlignment="1" applyProtection="1">
      <alignment/>
      <protection locked="0"/>
    </xf>
    <xf numFmtId="1" fontId="10" fillId="0" borderId="10" xfId="54" applyNumberFormat="1" applyFont="1" applyFill="1" applyBorder="1" applyAlignment="1" applyProtection="1">
      <alignment wrapText="1"/>
      <protection locked="0"/>
    </xf>
    <xf numFmtId="1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12" fillId="0" borderId="10" xfId="54" applyNumberFormat="1" applyFont="1" applyFill="1" applyBorder="1" applyAlignment="1" applyProtection="1">
      <alignment/>
      <protection locked="0"/>
    </xf>
    <xf numFmtId="1" fontId="12" fillId="0" borderId="10" xfId="54" applyNumberFormat="1" applyFont="1" applyFill="1" applyBorder="1" applyAlignment="1" applyProtection="1">
      <alignment wrapText="1"/>
      <protection locked="0"/>
    </xf>
    <xf numFmtId="1" fontId="7" fillId="0" borderId="10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0" fontId="9" fillId="0" borderId="0" xfId="0" applyFont="1" applyFill="1" applyAlignment="1">
      <alignment/>
    </xf>
    <xf numFmtId="3" fontId="17" fillId="0" borderId="10" xfId="55" applyNumberFormat="1" applyFont="1" applyFill="1" applyBorder="1">
      <alignment/>
      <protection/>
    </xf>
    <xf numFmtId="3" fontId="17" fillId="0" borderId="10" xfId="55" applyNumberFormat="1" applyFont="1" applyFill="1" applyBorder="1" applyAlignment="1">
      <alignment horizontal="center" vertical="center" wrapText="1"/>
      <protection/>
    </xf>
    <xf numFmtId="3" fontId="18" fillId="0" borderId="10" xfId="55" applyNumberFormat="1" applyFont="1" applyFill="1" applyBorder="1">
      <alignment/>
      <protection/>
    </xf>
    <xf numFmtId="3" fontId="18" fillId="0" borderId="10" xfId="55" applyNumberFormat="1" applyFont="1" applyFill="1" applyBorder="1" applyAlignment="1">
      <alignment horizontal="left" vertical="center" wrapText="1"/>
      <protection/>
    </xf>
    <xf numFmtId="3" fontId="17" fillId="0" borderId="10" xfId="55" applyNumberFormat="1" applyFont="1" applyFill="1" applyBorder="1" applyAlignment="1">
      <alignment horizontal="right"/>
      <protection/>
    </xf>
    <xf numFmtId="0" fontId="9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17" fillId="0" borderId="10" xfId="55" applyNumberFormat="1" applyFont="1" applyFill="1" applyBorder="1" applyAlignment="1">
      <alignment/>
      <protection/>
    </xf>
    <xf numFmtId="3" fontId="18" fillId="0" borderId="10" xfId="55" applyNumberFormat="1" applyFont="1" applyFill="1" applyBorder="1" applyAlignment="1">
      <alignment wrapText="1"/>
      <protection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24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9" fillId="0" borderId="12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22" fillId="0" borderId="10" xfId="0" applyFont="1" applyBorder="1" applyAlignment="1">
      <alignment/>
    </xf>
    <xf numFmtId="0" fontId="0" fillId="0" borderId="0" xfId="0" applyAlignment="1">
      <alignment horizontal="center"/>
    </xf>
    <xf numFmtId="1" fontId="24" fillId="0" borderId="10" xfId="0" applyNumberFormat="1" applyFont="1" applyBorder="1" applyAlignment="1">
      <alignment wrapText="1"/>
    </xf>
    <xf numFmtId="1" fontId="2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3" fontId="18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1" fontId="24" fillId="0" borderId="0" xfId="0" applyNumberFormat="1" applyFont="1" applyAlignment="1">
      <alignment/>
    </xf>
    <xf numFmtId="1" fontId="24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10" xfId="0" applyNumberFormat="1" applyFont="1" applyBorder="1" applyAlignment="1">
      <alignment/>
    </xf>
    <xf numFmtId="1" fontId="24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4" fontId="2" fillId="0" borderId="10" xfId="0" applyNumberFormat="1" applyFont="1" applyBorder="1" applyAlignment="1">
      <alignment wrapText="1"/>
    </xf>
    <xf numFmtId="0" fontId="24" fillId="0" borderId="14" xfId="0" applyFont="1" applyBorder="1" applyAlignment="1">
      <alignment/>
    </xf>
    <xf numFmtId="3" fontId="12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12" fillId="0" borderId="15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28" fillId="0" borderId="10" xfId="0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8" xfId="0" applyNumberFormat="1" applyFont="1" applyBorder="1" applyAlignment="1">
      <alignment horizontal="left"/>
    </xf>
    <xf numFmtId="3" fontId="10" fillId="0" borderId="19" xfId="0" applyNumberFormat="1" applyFont="1" applyBorder="1" applyAlignment="1">
      <alignment/>
    </xf>
    <xf numFmtId="3" fontId="10" fillId="0" borderId="20" xfId="0" applyNumberFormat="1" applyFont="1" applyBorder="1" applyAlignment="1">
      <alignment horizontal="left"/>
    </xf>
    <xf numFmtId="3" fontId="10" fillId="0" borderId="21" xfId="0" applyNumberFormat="1" applyFont="1" applyBorder="1" applyAlignment="1">
      <alignment horizontal="left"/>
    </xf>
    <xf numFmtId="3" fontId="10" fillId="0" borderId="20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2" fillId="0" borderId="26" xfId="0" applyNumberFormat="1" applyFont="1" applyBorder="1" applyAlignment="1">
      <alignment/>
    </xf>
    <xf numFmtId="3" fontId="12" fillId="0" borderId="16" xfId="0" applyNumberFormat="1" applyFont="1" applyBorder="1" applyAlignment="1">
      <alignment horizontal="center" wrapText="1"/>
    </xf>
    <xf numFmtId="3" fontId="12" fillId="0" borderId="27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left"/>
    </xf>
    <xf numFmtId="3" fontId="10" fillId="0" borderId="27" xfId="0" applyNumberFormat="1" applyFont="1" applyBorder="1" applyAlignment="1">
      <alignment/>
    </xf>
    <xf numFmtId="3" fontId="12" fillId="0" borderId="29" xfId="0" applyNumberFormat="1" applyFont="1" applyBorder="1" applyAlignment="1">
      <alignment horizontal="center"/>
    </xf>
    <xf numFmtId="3" fontId="12" fillId="0" borderId="25" xfId="0" applyNumberFormat="1" applyFont="1" applyBorder="1" applyAlignment="1">
      <alignment horizontal="center"/>
    </xf>
    <xf numFmtId="3" fontId="12" fillId="0" borderId="27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0" fillId="0" borderId="30" xfId="0" applyNumberFormat="1" applyFont="1" applyBorder="1" applyAlignment="1">
      <alignment horizontal="left"/>
    </xf>
    <xf numFmtId="3" fontId="12" fillId="0" borderId="20" xfId="0" applyNumberFormat="1" applyFont="1" applyBorder="1" applyAlignment="1">
      <alignment horizontal="left"/>
    </xf>
    <xf numFmtId="3" fontId="10" fillId="0" borderId="31" xfId="0" applyNumberFormat="1" applyFont="1" applyBorder="1" applyAlignment="1">
      <alignment/>
    </xf>
    <xf numFmtId="3" fontId="10" fillId="0" borderId="32" xfId="0" applyNumberFormat="1" applyFont="1" applyBorder="1" applyAlignment="1">
      <alignment horizontal="left"/>
    </xf>
    <xf numFmtId="3" fontId="12" fillId="0" borderId="29" xfId="0" applyNumberFormat="1" applyFont="1" applyBorder="1" applyAlignment="1">
      <alignment horizontal="left" wrapText="1"/>
    </xf>
    <xf numFmtId="3" fontId="30" fillId="0" borderId="33" xfId="0" applyNumberFormat="1" applyFont="1" applyBorder="1" applyAlignment="1">
      <alignment/>
    </xf>
    <xf numFmtId="3" fontId="30" fillId="0" borderId="34" xfId="0" applyNumberFormat="1" applyFont="1" applyBorder="1" applyAlignment="1">
      <alignment horizontal="left" wrapText="1"/>
    </xf>
    <xf numFmtId="3" fontId="10" fillId="0" borderId="35" xfId="0" applyNumberFormat="1" applyFont="1" applyBorder="1" applyAlignment="1">
      <alignment/>
    </xf>
    <xf numFmtId="3" fontId="10" fillId="0" borderId="36" xfId="0" applyNumberFormat="1" applyFont="1" applyBorder="1" applyAlignment="1">
      <alignment horizontal="left"/>
    </xf>
    <xf numFmtId="3" fontId="30" fillId="0" borderId="19" xfId="0" applyNumberFormat="1" applyFont="1" applyBorder="1" applyAlignment="1">
      <alignment/>
    </xf>
    <xf numFmtId="3" fontId="30" fillId="0" borderId="20" xfId="0" applyNumberFormat="1" applyFont="1" applyBorder="1" applyAlignment="1">
      <alignment horizontal="left"/>
    </xf>
    <xf numFmtId="0" fontId="33" fillId="33" borderId="10" xfId="0" applyFont="1" applyFill="1" applyBorder="1" applyAlignment="1">
      <alignment horizontal="left" vertical="center" wrapText="1"/>
    </xf>
    <xf numFmtId="168" fontId="8" fillId="0" borderId="10" xfId="0" applyNumberFormat="1" applyFont="1" applyFill="1" applyBorder="1" applyAlignment="1">
      <alignment horizontal="left" vertical="center" wrapText="1"/>
    </xf>
    <xf numFmtId="3" fontId="12" fillId="0" borderId="31" xfId="0" applyNumberFormat="1" applyFont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12" fillId="0" borderId="15" xfId="0" applyNumberFormat="1" applyFont="1" applyBorder="1" applyAlignment="1">
      <alignment/>
    </xf>
    <xf numFmtId="3" fontId="30" fillId="0" borderId="17" xfId="0" applyNumberFormat="1" applyFont="1" applyBorder="1" applyAlignment="1">
      <alignment/>
    </xf>
    <xf numFmtId="0" fontId="33" fillId="0" borderId="10" xfId="0" applyFont="1" applyFill="1" applyBorder="1" applyAlignment="1">
      <alignment horizontal="left" vertical="center" wrapText="1"/>
    </xf>
    <xf numFmtId="3" fontId="12" fillId="0" borderId="33" xfId="0" applyNumberFormat="1" applyFont="1" applyBorder="1" applyAlignment="1">
      <alignment/>
    </xf>
    <xf numFmtId="0" fontId="11" fillId="0" borderId="37" xfId="0" applyFont="1" applyFill="1" applyBorder="1" applyAlignment="1">
      <alignment horizontal="left" vertical="center" wrapText="1"/>
    </xf>
    <xf numFmtId="3" fontId="10" fillId="0" borderId="0" xfId="0" applyNumberFormat="1" applyFont="1" applyBorder="1" applyAlignment="1">
      <alignment/>
    </xf>
    <xf numFmtId="0" fontId="8" fillId="0" borderId="37" xfId="0" applyFont="1" applyFill="1" applyBorder="1" applyAlignment="1">
      <alignment horizontal="left" vertical="center" wrapText="1"/>
    </xf>
    <xf numFmtId="3" fontId="30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/>
    </xf>
    <xf numFmtId="0" fontId="1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3" fontId="29" fillId="0" borderId="11" xfId="0" applyNumberFormat="1" applyFont="1" applyBorder="1" applyAlignment="1">
      <alignment/>
    </xf>
    <xf numFmtId="0" fontId="29" fillId="0" borderId="11" xfId="0" applyFont="1" applyBorder="1" applyAlignment="1">
      <alignment/>
    </xf>
    <xf numFmtId="1" fontId="29" fillId="0" borderId="11" xfId="0" applyNumberFormat="1" applyFont="1" applyBorder="1" applyAlignment="1">
      <alignment/>
    </xf>
    <xf numFmtId="0" fontId="29" fillId="0" borderId="11" xfId="0" applyFont="1" applyBorder="1" applyAlignment="1">
      <alignment horizontal="right" vertical="center"/>
    </xf>
    <xf numFmtId="0" fontId="31" fillId="0" borderId="11" xfId="0" applyFont="1" applyBorder="1" applyAlignment="1">
      <alignment/>
    </xf>
    <xf numFmtId="0" fontId="32" fillId="0" borderId="11" xfId="0" applyFont="1" applyBorder="1" applyAlignment="1">
      <alignment/>
    </xf>
    <xf numFmtId="0" fontId="28" fillId="0" borderId="11" xfId="0" applyFont="1" applyBorder="1" applyAlignment="1">
      <alignment/>
    </xf>
    <xf numFmtId="1" fontId="28" fillId="0" borderId="11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0" fontId="8" fillId="0" borderId="11" xfId="0" applyFont="1" applyFill="1" applyBorder="1" applyAlignment="1" quotePrefix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 quotePrefix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3" fontId="31" fillId="0" borderId="11" xfId="0" applyNumberFormat="1" applyFont="1" applyBorder="1" applyAlignment="1">
      <alignment/>
    </xf>
    <xf numFmtId="0" fontId="0" fillId="34" borderId="0" xfId="0" applyFont="1" applyFill="1" applyAlignment="1">
      <alignment/>
    </xf>
    <xf numFmtId="3" fontId="15" fillId="34" borderId="13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 wrapText="1"/>
    </xf>
    <xf numFmtId="0" fontId="0" fillId="34" borderId="10" xfId="0" applyFill="1" applyBorder="1" applyAlignment="1">
      <alignment/>
    </xf>
    <xf numFmtId="3" fontId="24" fillId="0" borderId="10" xfId="0" applyNumberFormat="1" applyFont="1" applyBorder="1" applyAlignment="1">
      <alignment/>
    </xf>
    <xf numFmtId="168" fontId="12" fillId="0" borderId="11" xfId="0" applyNumberFormat="1" applyFont="1" applyFill="1" applyBorder="1" applyAlignment="1">
      <alignment horizontal="left" vertical="center" wrapText="1"/>
    </xf>
    <xf numFmtId="168" fontId="30" fillId="0" borderId="11" xfId="0" applyNumberFormat="1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3" fontId="0" fillId="34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27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8" fillId="0" borderId="10" xfId="55" applyNumberFormat="1" applyFont="1" applyFill="1" applyBorder="1" applyAlignment="1">
      <alignment horizontal="right"/>
      <protection/>
    </xf>
    <xf numFmtId="3" fontId="6" fillId="0" borderId="10" xfId="0" applyNumberFormat="1" applyFont="1" applyFill="1" applyBorder="1" applyAlignment="1">
      <alignment/>
    </xf>
    <xf numFmtId="164" fontId="17" fillId="0" borderId="10" xfId="55" applyNumberFormat="1" applyFont="1" applyFill="1" applyBorder="1">
      <alignment/>
      <protection/>
    </xf>
    <xf numFmtId="4" fontId="17" fillId="0" borderId="10" xfId="55" applyNumberFormat="1" applyFont="1" applyFill="1" applyBorder="1">
      <alignment/>
      <protection/>
    </xf>
    <xf numFmtId="3" fontId="11" fillId="0" borderId="12" xfId="0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 quotePrefix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33" fillId="0" borderId="11" xfId="0" applyFont="1" applyFill="1" applyBorder="1" applyAlignment="1" quotePrefix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87" fillId="0" borderId="10" xfId="0" applyFont="1" applyBorder="1" applyAlignment="1">
      <alignment/>
    </xf>
    <xf numFmtId="0" fontId="87" fillId="0" borderId="0" xfId="0" applyFont="1" applyAlignment="1">
      <alignment/>
    </xf>
    <xf numFmtId="0" fontId="88" fillId="0" borderId="10" xfId="0" applyFont="1" applyBorder="1" applyAlignment="1">
      <alignment horizontal="center"/>
    </xf>
    <xf numFmtId="3" fontId="87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10" xfId="0" applyFont="1" applyBorder="1" applyAlignment="1">
      <alignment/>
    </xf>
    <xf numFmtId="0" fontId="92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3" fontId="90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13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vertical="center" wrapText="1"/>
    </xf>
    <xf numFmtId="9" fontId="12" fillId="0" borderId="0" xfId="0" applyNumberFormat="1" applyFont="1" applyBorder="1" applyAlignment="1">
      <alignment vertical="center" wrapText="1"/>
    </xf>
    <xf numFmtId="0" fontId="93" fillId="0" borderId="0" xfId="0" applyFont="1" applyAlignment="1">
      <alignment/>
    </xf>
    <xf numFmtId="0" fontId="77" fillId="0" borderId="0" xfId="0" applyFont="1" applyAlignment="1">
      <alignment/>
    </xf>
    <xf numFmtId="3" fontId="94" fillId="0" borderId="13" xfId="0" applyNumberFormat="1" applyFont="1" applyBorder="1" applyAlignment="1">
      <alignment/>
    </xf>
    <xf numFmtId="3" fontId="95" fillId="0" borderId="10" xfId="0" applyNumberFormat="1" applyFont="1" applyBorder="1" applyAlignment="1">
      <alignment wrapText="1"/>
    </xf>
    <xf numFmtId="0" fontId="77" fillId="0" borderId="10" xfId="0" applyFont="1" applyBorder="1" applyAlignment="1">
      <alignment/>
    </xf>
    <xf numFmtId="3" fontId="96" fillId="0" borderId="11" xfId="0" applyNumberFormat="1" applyFont="1" applyBorder="1" applyAlignment="1">
      <alignment/>
    </xf>
    <xf numFmtId="0" fontId="96" fillId="0" borderId="11" xfId="0" applyFont="1" applyBorder="1" applyAlignment="1">
      <alignment/>
    </xf>
    <xf numFmtId="3" fontId="77" fillId="0" borderId="10" xfId="0" applyNumberFormat="1" applyFont="1" applyBorder="1" applyAlignment="1">
      <alignment/>
    </xf>
    <xf numFmtId="1" fontId="96" fillId="0" borderId="11" xfId="0" applyNumberFormat="1" applyFont="1" applyBorder="1" applyAlignment="1">
      <alignment/>
    </xf>
    <xf numFmtId="0" fontId="96" fillId="0" borderId="11" xfId="0" applyFont="1" applyBorder="1" applyAlignment="1">
      <alignment horizontal="right" vertical="center"/>
    </xf>
    <xf numFmtId="0" fontId="97" fillId="0" borderId="11" xfId="0" applyFont="1" applyBorder="1" applyAlignment="1">
      <alignment/>
    </xf>
    <xf numFmtId="0" fontId="98" fillId="0" borderId="11" xfId="0" applyFont="1" applyBorder="1" applyAlignment="1">
      <alignment/>
    </xf>
    <xf numFmtId="168" fontId="99" fillId="0" borderId="11" xfId="0" applyNumberFormat="1" applyFont="1" applyFill="1" applyBorder="1" applyAlignment="1">
      <alignment horizontal="left" vertical="center" wrapText="1"/>
    </xf>
    <xf numFmtId="168" fontId="100" fillId="0" borderId="11" xfId="0" applyNumberFormat="1" applyFont="1" applyFill="1" applyBorder="1" applyAlignment="1">
      <alignment horizontal="left" vertical="center" wrapText="1"/>
    </xf>
    <xf numFmtId="0" fontId="100" fillId="0" borderId="11" xfId="0" applyFont="1" applyFill="1" applyBorder="1" applyAlignment="1">
      <alignment horizontal="left" vertical="center" wrapText="1"/>
    </xf>
    <xf numFmtId="0" fontId="99" fillId="0" borderId="11" xfId="0" applyFont="1" applyFill="1" applyBorder="1" applyAlignment="1">
      <alignment horizontal="left" vertical="center" wrapText="1"/>
    </xf>
    <xf numFmtId="3" fontId="97" fillId="0" borderId="11" xfId="0" applyNumberFormat="1" applyFont="1" applyBorder="1" applyAlignment="1">
      <alignment/>
    </xf>
    <xf numFmtId="0" fontId="101" fillId="0" borderId="10" xfId="0" applyFont="1" applyBorder="1" applyAlignment="1">
      <alignment/>
    </xf>
    <xf numFmtId="0" fontId="101" fillId="0" borderId="11" xfId="0" applyFont="1" applyBorder="1" applyAlignment="1">
      <alignment/>
    </xf>
    <xf numFmtId="1" fontId="101" fillId="0" borderId="11" xfId="0" applyNumberFormat="1" applyFont="1" applyBorder="1" applyAlignment="1">
      <alignment/>
    </xf>
    <xf numFmtId="0" fontId="102" fillId="0" borderId="0" xfId="0" applyFont="1" applyAlignment="1">
      <alignment horizontal="center"/>
    </xf>
    <xf numFmtId="0" fontId="103" fillId="0" borderId="11" xfId="0" applyFont="1" applyBorder="1" applyAlignment="1">
      <alignment/>
    </xf>
    <xf numFmtId="0" fontId="77" fillId="0" borderId="11" xfId="0" applyFont="1" applyBorder="1" applyAlignment="1">
      <alignment/>
    </xf>
    <xf numFmtId="3" fontId="77" fillId="0" borderId="11" xfId="0" applyNumberFormat="1" applyFont="1" applyBorder="1" applyAlignment="1">
      <alignment/>
    </xf>
    <xf numFmtId="0" fontId="104" fillId="33" borderId="11" xfId="0" applyFont="1" applyFill="1" applyBorder="1" applyAlignment="1">
      <alignment horizontal="left" vertical="center" wrapText="1"/>
    </xf>
    <xf numFmtId="168" fontId="105" fillId="0" borderId="11" xfId="0" applyNumberFormat="1" applyFont="1" applyFill="1" applyBorder="1" applyAlignment="1">
      <alignment horizontal="left" vertical="center" wrapText="1"/>
    </xf>
    <xf numFmtId="0" fontId="105" fillId="0" borderId="11" xfId="0" applyFont="1" applyFill="1" applyBorder="1" applyAlignment="1">
      <alignment horizontal="left" vertical="center" wrapText="1"/>
    </xf>
    <xf numFmtId="0" fontId="105" fillId="0" borderId="11" xfId="0" applyFont="1" applyFill="1" applyBorder="1" applyAlignment="1">
      <alignment vertical="center" wrapText="1"/>
    </xf>
    <xf numFmtId="168" fontId="24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3" fontId="89" fillId="0" borderId="10" xfId="0" applyNumberFormat="1" applyFont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/>
    </xf>
    <xf numFmtId="9" fontId="12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2" fillId="0" borderId="0" xfId="55" applyFont="1" applyFill="1" applyAlignment="1">
      <alignment horizontal="center"/>
      <protection/>
    </xf>
    <xf numFmtId="3" fontId="12" fillId="36" borderId="10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horizontal="center"/>
    </xf>
    <xf numFmtId="3" fontId="12" fillId="36" borderId="10" xfId="0" applyNumberFormat="1" applyFont="1" applyFill="1" applyBorder="1" applyAlignment="1">
      <alignment wrapText="1"/>
    </xf>
    <xf numFmtId="3" fontId="12" fillId="36" borderId="10" xfId="0" applyNumberFormat="1" applyFont="1" applyFill="1" applyBorder="1" applyAlignment="1">
      <alignment wrapText="1"/>
    </xf>
    <xf numFmtId="3" fontId="10" fillId="36" borderId="10" xfId="0" applyNumberFormat="1" applyFont="1" applyFill="1" applyBorder="1" applyAlignment="1">
      <alignment/>
    </xf>
    <xf numFmtId="0" fontId="10" fillId="0" borderId="10" xfId="55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 horizontal="center"/>
    </xf>
    <xf numFmtId="3" fontId="15" fillId="0" borderId="38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3" fontId="16" fillId="36" borderId="13" xfId="0" applyNumberFormat="1" applyFont="1" applyFill="1" applyBorder="1" applyAlignment="1">
      <alignment/>
    </xf>
    <xf numFmtId="3" fontId="16" fillId="36" borderId="10" xfId="0" applyNumberFormat="1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0" fontId="29" fillId="36" borderId="11" xfId="0" applyFont="1" applyFill="1" applyBorder="1" applyAlignment="1">
      <alignment/>
    </xf>
    <xf numFmtId="3" fontId="15" fillId="36" borderId="13" xfId="0" applyNumberFormat="1" applyFont="1" applyFill="1" applyBorder="1" applyAlignment="1">
      <alignment/>
    </xf>
    <xf numFmtId="3" fontId="29" fillId="36" borderId="11" xfId="0" applyNumberFormat="1" applyFont="1" applyFill="1" applyBorder="1" applyAlignment="1">
      <alignment/>
    </xf>
    <xf numFmtId="1" fontId="29" fillId="36" borderId="11" xfId="0" applyNumberFormat="1" applyFont="1" applyFill="1" applyBorder="1" applyAlignment="1">
      <alignment/>
    </xf>
    <xf numFmtId="0" fontId="29" fillId="36" borderId="11" xfId="0" applyFont="1" applyFill="1" applyBorder="1" applyAlignment="1">
      <alignment horizontal="right" vertical="center"/>
    </xf>
    <xf numFmtId="0" fontId="31" fillId="36" borderId="11" xfId="0" applyFont="1" applyFill="1" applyBorder="1" applyAlignment="1">
      <alignment/>
    </xf>
    <xf numFmtId="0" fontId="32" fillId="36" borderId="11" xfId="0" applyFont="1" applyFill="1" applyBorder="1" applyAlignment="1">
      <alignment/>
    </xf>
    <xf numFmtId="168" fontId="11" fillId="36" borderId="11" xfId="0" applyNumberFormat="1" applyFont="1" applyFill="1" applyBorder="1" applyAlignment="1">
      <alignment horizontal="left" vertical="center" wrapText="1"/>
    </xf>
    <xf numFmtId="168" fontId="33" fillId="36" borderId="11" xfId="0" applyNumberFormat="1" applyFont="1" applyFill="1" applyBorder="1" applyAlignment="1">
      <alignment horizontal="left" vertical="center" wrapText="1"/>
    </xf>
    <xf numFmtId="0" fontId="33" fillId="36" borderId="11" xfId="0" applyFont="1" applyFill="1" applyBorder="1" applyAlignment="1">
      <alignment horizontal="left" vertical="center" wrapText="1"/>
    </xf>
    <xf numFmtId="1" fontId="0" fillId="36" borderId="10" xfId="0" applyNumberFormat="1" applyFont="1" applyFill="1" applyBorder="1" applyAlignment="1">
      <alignment/>
    </xf>
    <xf numFmtId="0" fontId="11" fillId="36" borderId="11" xfId="0" applyFont="1" applyFill="1" applyBorder="1" applyAlignment="1">
      <alignment horizontal="left" vertical="center" wrapText="1"/>
    </xf>
    <xf numFmtId="3" fontId="31" fillId="36" borderId="11" xfId="0" applyNumberFormat="1" applyFont="1" applyFill="1" applyBorder="1" applyAlignment="1">
      <alignment/>
    </xf>
    <xf numFmtId="0" fontId="28" fillId="36" borderId="10" xfId="0" applyFont="1" applyFill="1" applyBorder="1" applyAlignment="1">
      <alignment/>
    </xf>
    <xf numFmtId="0" fontId="28" fillId="36" borderId="11" xfId="0" applyFont="1" applyFill="1" applyBorder="1" applyAlignment="1">
      <alignment/>
    </xf>
    <xf numFmtId="1" fontId="28" fillId="36" borderId="11" xfId="0" applyNumberFormat="1" applyFont="1" applyFill="1" applyBorder="1" applyAlignment="1">
      <alignment/>
    </xf>
    <xf numFmtId="0" fontId="89" fillId="0" borderId="10" xfId="0" applyFont="1" applyBorder="1" applyAlignment="1">
      <alignment horizontal="center"/>
    </xf>
    <xf numFmtId="0" fontId="89" fillId="0" borderId="10" xfId="0" applyFont="1" applyBorder="1" applyAlignment="1">
      <alignment/>
    </xf>
    <xf numFmtId="0" fontId="90" fillId="0" borderId="10" xfId="0" applyFont="1" applyBorder="1" applyAlignment="1">
      <alignment/>
    </xf>
    <xf numFmtId="0" fontId="106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07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102" fillId="0" borderId="10" xfId="0" applyNumberFormat="1" applyFont="1" applyBorder="1" applyAlignment="1">
      <alignment/>
    </xf>
    <xf numFmtId="0" fontId="90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3" fontId="8" fillId="0" borderId="11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0" fontId="12" fillId="0" borderId="0" xfId="55" applyFont="1" applyFill="1" applyAlignment="1">
      <alignment horizontal="center"/>
      <protection/>
    </xf>
    <xf numFmtId="0" fontId="10" fillId="0" borderId="0" xfId="55" applyFont="1" applyFill="1">
      <alignment/>
      <protection/>
    </xf>
    <xf numFmtId="3" fontId="12" fillId="0" borderId="11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1" fontId="24" fillId="0" borderId="10" xfId="0" applyNumberFormat="1" applyFont="1" applyBorder="1" applyAlignment="1">
      <alignment horizontal="center"/>
    </xf>
    <xf numFmtId="1" fontId="24" fillId="0" borderId="0" xfId="0" applyNumberFormat="1" applyFont="1" applyAlignment="1">
      <alignment horizontal="left"/>
    </xf>
    <xf numFmtId="1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1" xfId="54"/>
    <cellStyle name="Normál_Munka5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CK\0001\2015\Test&#252;leti\Rendeletek\13_2015%20&#246;nkorm&#225;nyzati%20rendelet%20mell&#233;kl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&#246;lts&#233;gvet&#233;s%202016.02.01\&#246;nkorm.kiad&#225;sok%202016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&#246;lts&#233;gvet&#233;s%202016.02.01\GEVSZ%20Kiad&#225;sok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&#246;lts&#233;gvet&#233;s%202016.02.01\&#246;nkorm&#225;nyzat%20bev&#233;telek%20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K&#246;lts&#233;gvet&#233;s%202016.02.01\GEVSZ%20bev&#233;telek%202016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.főössz."/>
      <sheetName val="1.össz.bevétel"/>
      <sheetName val="2.megosztott bev."/>
      <sheetName val="3.bev.részletes"/>
      <sheetName val="4.Állami tám."/>
      <sheetName val="5.K kiemelt ei."/>
      <sheetName val="6.K megosztás"/>
      <sheetName val="7.K.részletező"/>
      <sheetName val="8. fejlesztés"/>
      <sheetName val="9. létszám"/>
    </sheetNames>
    <sheetDataSet>
      <sheetData sheetId="5">
        <row r="49">
          <cell r="D4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Szf.össz."/>
      <sheetName val="alap"/>
      <sheetName val="841112"/>
      <sheetName val="841112_011130"/>
      <sheetName val="841907"/>
      <sheetName val="841907_018030"/>
      <sheetName val="680001"/>
      <sheetName val="680001_013350"/>
      <sheetName val="841403"/>
      <sheetName val="841403_066020"/>
      <sheetName val="854234"/>
      <sheetName val="854234_094260"/>
      <sheetName val="882113"/>
      <sheetName val="882113_106020"/>
      <sheetName val="882117"/>
      <sheetName val="882122"/>
      <sheetName val="882123"/>
      <sheetName val="882123_103010"/>
      <sheetName val="882124"/>
      <sheetName val="882129"/>
      <sheetName val="882129_107060"/>
      <sheetName val="882202"/>
      <sheetName val="882202_101150"/>
      <sheetName val="882203"/>
      <sheetName val="889942"/>
      <sheetName val="Munka2"/>
      <sheetName val="Munka1"/>
    </sheetNames>
    <sheetDataSet>
      <sheetData sheetId="4">
        <row r="19">
          <cell r="E19">
            <v>6056</v>
          </cell>
        </row>
        <row r="32">
          <cell r="E32">
            <v>20</v>
          </cell>
        </row>
        <row r="33">
          <cell r="E33">
            <v>240</v>
          </cell>
        </row>
        <row r="35">
          <cell r="E35">
            <v>300</v>
          </cell>
        </row>
        <row r="42">
          <cell r="E42">
            <v>50</v>
          </cell>
        </row>
        <row r="46">
          <cell r="E46">
            <v>100</v>
          </cell>
        </row>
        <row r="47">
          <cell r="E47">
            <v>1950</v>
          </cell>
        </row>
        <row r="55">
          <cell r="E55">
            <v>1350</v>
          </cell>
        </row>
        <row r="58">
          <cell r="E58">
            <v>34</v>
          </cell>
        </row>
      </sheetData>
      <sheetData sheetId="10">
        <row r="13">
          <cell r="E13">
            <v>48</v>
          </cell>
        </row>
        <row r="42">
          <cell r="E42">
            <v>280</v>
          </cell>
        </row>
        <row r="51">
          <cell r="E51">
            <v>72</v>
          </cell>
        </row>
        <row r="54">
          <cell r="E54">
            <v>477</v>
          </cell>
        </row>
        <row r="94">
          <cell r="E94">
            <v>2240</v>
          </cell>
        </row>
      </sheetData>
      <sheetData sheetId="12">
        <row r="67">
          <cell r="E67">
            <v>330</v>
          </cell>
        </row>
      </sheetData>
      <sheetData sheetId="14">
        <row r="64">
          <cell r="E64">
            <v>800</v>
          </cell>
        </row>
        <row r="110">
          <cell r="E110">
            <v>2000</v>
          </cell>
        </row>
      </sheetData>
      <sheetData sheetId="18">
        <row r="68">
          <cell r="E68">
            <v>1000</v>
          </cell>
        </row>
        <row r="69">
          <cell r="E69">
            <v>150</v>
          </cell>
        </row>
      </sheetData>
      <sheetData sheetId="21">
        <row r="68">
          <cell r="E68">
            <v>4650</v>
          </cell>
        </row>
        <row r="72">
          <cell r="E72">
            <v>1280</v>
          </cell>
        </row>
      </sheetData>
      <sheetData sheetId="23">
        <row r="61">
          <cell r="E61">
            <v>310</v>
          </cell>
        </row>
        <row r="62">
          <cell r="E62">
            <v>150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zf.össz."/>
      <sheetName val="Alap"/>
      <sheetName val="05"/>
      <sheetName val="01"/>
      <sheetName val="851011"/>
      <sheetName val="851011_091110"/>
      <sheetName val="370000"/>
      <sheetName val="370000_052020"/>
      <sheetName val="381103"/>
      <sheetName val="381103_051030"/>
      <sheetName val="522000"/>
      <sheetName val="522000_045160"/>
      <sheetName val="562912"/>
      <sheetName val="562912_096010"/>
      <sheetName val="562913"/>
      <sheetName val="562913_096020"/>
      <sheetName val="562916"/>
      <sheetName val="562916_081071"/>
      <sheetName val="562917"/>
      <sheetName val="562917_999999"/>
      <sheetName val="680001"/>
      <sheetName val="680001_013350"/>
      <sheetName val="680002"/>
      <sheetName val="680002_013350"/>
      <sheetName val="750000"/>
      <sheetName val="750000_042180"/>
      <sheetName val="841358"/>
      <sheetName val="841358_047320"/>
      <sheetName val="811000"/>
      <sheetName val="811000_013350"/>
      <sheetName val="813000"/>
      <sheetName val="813000_066010"/>
      <sheetName val="841154"/>
      <sheetName val="841154_013350"/>
      <sheetName val="841402"/>
      <sheetName val="841402_064010"/>
      <sheetName val="841403"/>
      <sheetName val="841403_066020"/>
      <sheetName val="842155"/>
      <sheetName val="842155_086030"/>
      <sheetName val="852011"/>
      <sheetName val="852011_013350"/>
      <sheetName val="862101"/>
      <sheetName val="862101_072111"/>
      <sheetName val="862102"/>
      <sheetName val="862102_072112"/>
      <sheetName val="862231"/>
      <sheetName val="862231_074011"/>
      <sheetName val="862301"/>
      <sheetName val="862301_072311"/>
      <sheetName val="869041"/>
      <sheetName val="869041_074031"/>
      <sheetName val="889921"/>
      <sheetName val="889921_107051"/>
      <sheetName val="889924"/>
      <sheetName val="889924_107054"/>
      <sheetName val="889928"/>
      <sheetName val="889928_107055"/>
      <sheetName val="890301"/>
      <sheetName val="890301_084031"/>
      <sheetName val="támogatás"/>
      <sheetName val="890442"/>
      <sheetName val="889442_041231"/>
      <sheetName val="890444"/>
      <sheetName val="890444_041231"/>
      <sheetName val="910123"/>
      <sheetName val="910123_082092"/>
      <sheetName val="910502"/>
      <sheetName val="910502_082902"/>
      <sheetName val="932911"/>
      <sheetName val="932911_081061"/>
      <sheetName val="940000"/>
      <sheetName val="940000_013390"/>
      <sheetName val="960302"/>
      <sheetName val="Fejlesztés"/>
      <sheetName val="960302_013320"/>
    </sheetNames>
    <sheetDataSet>
      <sheetData sheetId="5">
        <row r="7">
          <cell r="E7">
            <v>1235</v>
          </cell>
        </row>
        <row r="10">
          <cell r="E10">
            <v>200</v>
          </cell>
        </row>
        <row r="11">
          <cell r="E11">
            <v>1655</v>
          </cell>
        </row>
        <row r="12">
          <cell r="E12">
            <v>576</v>
          </cell>
        </row>
        <row r="13">
          <cell r="E13">
            <v>924</v>
          </cell>
        </row>
        <row r="16">
          <cell r="E16">
            <v>2219</v>
          </cell>
        </row>
        <row r="27">
          <cell r="E27">
            <v>250</v>
          </cell>
        </row>
        <row r="28">
          <cell r="E28">
            <v>286</v>
          </cell>
        </row>
        <row r="31">
          <cell r="E31">
            <v>10</v>
          </cell>
        </row>
        <row r="32">
          <cell r="E32">
            <v>10</v>
          </cell>
        </row>
        <row r="33">
          <cell r="E33">
            <v>7</v>
          </cell>
        </row>
        <row r="35">
          <cell r="E35">
            <v>450</v>
          </cell>
        </row>
        <row r="38">
          <cell r="E38">
            <v>61</v>
          </cell>
        </row>
        <row r="40">
          <cell r="E40">
            <v>100</v>
          </cell>
        </row>
        <row r="41">
          <cell r="E41">
            <v>403</v>
          </cell>
        </row>
        <row r="44">
          <cell r="E44">
            <v>70</v>
          </cell>
        </row>
        <row r="45">
          <cell r="E45">
            <v>10</v>
          </cell>
        </row>
        <row r="46">
          <cell r="E46">
            <v>90</v>
          </cell>
        </row>
        <row r="48">
          <cell r="E48">
            <v>100</v>
          </cell>
        </row>
        <row r="49">
          <cell r="E49">
            <v>500</v>
          </cell>
        </row>
        <row r="50">
          <cell r="E50">
            <v>350</v>
          </cell>
        </row>
        <row r="54">
          <cell r="E54">
            <v>20</v>
          </cell>
        </row>
        <row r="59">
          <cell r="E59">
            <v>60</v>
          </cell>
        </row>
        <row r="62">
          <cell r="E62">
            <v>50</v>
          </cell>
        </row>
        <row r="64">
          <cell r="E64">
            <v>211</v>
          </cell>
        </row>
        <row r="67">
          <cell r="E67">
            <v>10</v>
          </cell>
        </row>
        <row r="68">
          <cell r="E68">
            <v>10</v>
          </cell>
        </row>
        <row r="91">
          <cell r="E91">
            <v>378</v>
          </cell>
        </row>
        <row r="92">
          <cell r="E92">
            <v>346</v>
          </cell>
        </row>
      </sheetData>
      <sheetData sheetId="7">
        <row r="58">
          <cell r="E58">
            <v>6034</v>
          </cell>
        </row>
      </sheetData>
      <sheetData sheetId="9">
        <row r="6">
          <cell r="E6">
            <v>4623</v>
          </cell>
        </row>
        <row r="12">
          <cell r="E12">
            <v>96</v>
          </cell>
        </row>
        <row r="13">
          <cell r="E13">
            <v>354</v>
          </cell>
        </row>
        <row r="16">
          <cell r="E16">
            <v>387</v>
          </cell>
        </row>
        <row r="27">
          <cell r="E27">
            <v>75</v>
          </cell>
        </row>
        <row r="28">
          <cell r="E28">
            <v>86</v>
          </cell>
        </row>
        <row r="39">
          <cell r="E39">
            <v>1500</v>
          </cell>
        </row>
        <row r="40">
          <cell r="E40">
            <v>120</v>
          </cell>
        </row>
        <row r="41">
          <cell r="E41">
            <v>350</v>
          </cell>
        </row>
        <row r="54">
          <cell r="E54">
            <v>1100</v>
          </cell>
        </row>
        <row r="56">
          <cell r="E56">
            <v>3000</v>
          </cell>
        </row>
        <row r="70">
          <cell r="E70">
            <v>3127</v>
          </cell>
        </row>
        <row r="74">
          <cell r="E74">
            <v>110</v>
          </cell>
        </row>
      </sheetData>
      <sheetData sheetId="11">
        <row r="12">
          <cell r="E12">
            <v>96</v>
          </cell>
        </row>
        <row r="13">
          <cell r="E13">
            <v>204</v>
          </cell>
        </row>
        <row r="16">
          <cell r="E16">
            <v>258</v>
          </cell>
        </row>
        <row r="27">
          <cell r="E27">
            <v>50</v>
          </cell>
        </row>
        <row r="28">
          <cell r="E28">
            <v>57</v>
          </cell>
        </row>
        <row r="40">
          <cell r="E40">
            <v>80</v>
          </cell>
        </row>
        <row r="41">
          <cell r="E41">
            <v>1250</v>
          </cell>
        </row>
        <row r="63">
          <cell r="E63">
            <v>150</v>
          </cell>
        </row>
      </sheetData>
      <sheetData sheetId="13">
        <row r="37">
          <cell r="E37">
            <v>3556</v>
          </cell>
        </row>
        <row r="70">
          <cell r="E70">
            <v>961</v>
          </cell>
        </row>
      </sheetData>
      <sheetData sheetId="15">
        <row r="7">
          <cell r="E7">
            <v>360</v>
          </cell>
        </row>
        <row r="10">
          <cell r="E10">
            <v>200</v>
          </cell>
        </row>
        <row r="13">
          <cell r="E13">
            <v>600</v>
          </cell>
        </row>
        <row r="16">
          <cell r="E16">
            <v>528</v>
          </cell>
        </row>
        <row r="21">
          <cell r="E21">
            <v>456</v>
          </cell>
        </row>
        <row r="27">
          <cell r="E27">
            <v>100</v>
          </cell>
        </row>
        <row r="28">
          <cell r="E28">
            <v>114</v>
          </cell>
        </row>
        <row r="33">
          <cell r="E33">
            <v>10</v>
          </cell>
        </row>
        <row r="35">
          <cell r="E35">
            <v>150</v>
          </cell>
        </row>
        <row r="38">
          <cell r="E38">
            <v>120</v>
          </cell>
        </row>
        <row r="41">
          <cell r="E41">
            <v>520</v>
          </cell>
        </row>
        <row r="45">
          <cell r="E45">
            <v>60</v>
          </cell>
        </row>
        <row r="46">
          <cell r="E46">
            <v>120</v>
          </cell>
        </row>
        <row r="49">
          <cell r="E49">
            <v>900</v>
          </cell>
        </row>
        <row r="50">
          <cell r="E50">
            <v>670</v>
          </cell>
        </row>
        <row r="53">
          <cell r="E53">
            <v>370</v>
          </cell>
        </row>
        <row r="54">
          <cell r="E54">
            <v>175</v>
          </cell>
        </row>
        <row r="58">
          <cell r="E58">
            <v>230</v>
          </cell>
        </row>
        <row r="64">
          <cell r="E64">
            <v>120</v>
          </cell>
        </row>
        <row r="67">
          <cell r="E67">
            <v>30</v>
          </cell>
        </row>
        <row r="89">
          <cell r="E89">
            <v>79</v>
          </cell>
        </row>
        <row r="90">
          <cell r="E90">
            <v>165</v>
          </cell>
        </row>
        <row r="91">
          <cell r="E91">
            <v>150</v>
          </cell>
        </row>
        <row r="92">
          <cell r="E92">
            <v>107</v>
          </cell>
        </row>
      </sheetData>
      <sheetData sheetId="17">
        <row r="37">
          <cell r="E37">
            <v>2088</v>
          </cell>
        </row>
        <row r="70">
          <cell r="E70">
            <v>564</v>
          </cell>
        </row>
      </sheetData>
      <sheetData sheetId="19">
        <row r="37">
          <cell r="E37">
            <v>2602</v>
          </cell>
        </row>
        <row r="70">
          <cell r="E70">
            <v>703</v>
          </cell>
        </row>
      </sheetData>
      <sheetData sheetId="21">
        <row r="41">
          <cell r="E41">
            <v>100</v>
          </cell>
        </row>
        <row r="53">
          <cell r="E53">
            <v>100</v>
          </cell>
        </row>
        <row r="70">
          <cell r="E70">
            <v>54</v>
          </cell>
        </row>
      </sheetData>
      <sheetData sheetId="23">
        <row r="41">
          <cell r="E41">
            <v>100</v>
          </cell>
        </row>
        <row r="53">
          <cell r="E53">
            <v>200</v>
          </cell>
        </row>
        <row r="56">
          <cell r="E56">
            <v>3400</v>
          </cell>
        </row>
        <row r="64">
          <cell r="E64">
            <v>100</v>
          </cell>
        </row>
        <row r="70">
          <cell r="E70">
            <v>1026</v>
          </cell>
        </row>
      </sheetData>
      <sheetData sheetId="25">
        <row r="58">
          <cell r="E58">
            <v>250</v>
          </cell>
        </row>
      </sheetData>
      <sheetData sheetId="29">
        <row r="6">
          <cell r="E6">
            <v>4623</v>
          </cell>
        </row>
        <row r="12">
          <cell r="E12">
            <v>288</v>
          </cell>
        </row>
        <row r="13">
          <cell r="E13">
            <v>162</v>
          </cell>
        </row>
        <row r="16">
          <cell r="E16">
            <v>387</v>
          </cell>
        </row>
        <row r="27">
          <cell r="E27">
            <v>75</v>
          </cell>
        </row>
        <row r="28">
          <cell r="E28">
            <v>86</v>
          </cell>
        </row>
        <row r="40">
          <cell r="E40">
            <v>120</v>
          </cell>
        </row>
        <row r="52">
          <cell r="E52">
            <v>50</v>
          </cell>
        </row>
        <row r="53">
          <cell r="E53">
            <v>200</v>
          </cell>
        </row>
        <row r="70">
          <cell r="E70">
            <v>100</v>
          </cell>
        </row>
        <row r="91">
          <cell r="E91">
            <v>48</v>
          </cell>
        </row>
        <row r="92">
          <cell r="E92">
            <v>12</v>
          </cell>
        </row>
      </sheetData>
      <sheetData sheetId="31">
        <row r="7">
          <cell r="E7">
            <v>480</v>
          </cell>
        </row>
        <row r="9">
          <cell r="E9">
            <v>1700</v>
          </cell>
        </row>
        <row r="12">
          <cell r="E12">
            <v>384</v>
          </cell>
        </row>
        <row r="13">
          <cell r="E13">
            <v>516</v>
          </cell>
        </row>
        <row r="16">
          <cell r="E16">
            <v>881</v>
          </cell>
        </row>
        <row r="27">
          <cell r="E27">
            <v>141</v>
          </cell>
        </row>
        <row r="28">
          <cell r="E28">
            <v>171</v>
          </cell>
        </row>
        <row r="35">
          <cell r="E35">
            <v>111</v>
          </cell>
        </row>
        <row r="38">
          <cell r="E38">
            <v>100</v>
          </cell>
        </row>
        <row r="39">
          <cell r="E39">
            <v>3000</v>
          </cell>
        </row>
        <row r="40">
          <cell r="E40">
            <v>200</v>
          </cell>
        </row>
        <row r="41">
          <cell r="E41">
            <v>2320</v>
          </cell>
        </row>
        <row r="46">
          <cell r="E46">
            <v>185</v>
          </cell>
        </row>
        <row r="48">
          <cell r="E48">
            <v>100</v>
          </cell>
        </row>
        <row r="49">
          <cell r="E49">
            <v>450</v>
          </cell>
        </row>
        <row r="50">
          <cell r="E50">
            <v>350</v>
          </cell>
        </row>
        <row r="54">
          <cell r="E54">
            <v>1660</v>
          </cell>
        </row>
        <row r="58">
          <cell r="E58">
            <v>900</v>
          </cell>
        </row>
        <row r="61">
          <cell r="E61">
            <v>200</v>
          </cell>
        </row>
        <row r="63">
          <cell r="E63">
            <v>80</v>
          </cell>
        </row>
        <row r="74">
          <cell r="E74">
            <v>120</v>
          </cell>
        </row>
        <row r="75">
          <cell r="E75">
            <v>8</v>
          </cell>
        </row>
        <row r="90">
          <cell r="E90">
            <v>372</v>
          </cell>
        </row>
        <row r="92">
          <cell r="E92">
            <v>100</v>
          </cell>
        </row>
        <row r="94">
          <cell r="E94">
            <v>315</v>
          </cell>
        </row>
        <row r="97">
          <cell r="E97">
            <v>85</v>
          </cell>
        </row>
      </sheetData>
      <sheetData sheetId="33">
        <row r="7">
          <cell r="E7">
            <v>720</v>
          </cell>
        </row>
        <row r="11">
          <cell r="E11">
            <v>1598</v>
          </cell>
        </row>
        <row r="12">
          <cell r="E12">
            <v>75</v>
          </cell>
        </row>
        <row r="13">
          <cell r="E13">
            <v>825</v>
          </cell>
        </row>
        <row r="16">
          <cell r="E16">
            <v>1098</v>
          </cell>
        </row>
        <row r="20">
          <cell r="E20">
            <v>150</v>
          </cell>
        </row>
        <row r="26">
          <cell r="E26">
            <v>721</v>
          </cell>
        </row>
        <row r="27">
          <cell r="E27">
            <v>150</v>
          </cell>
        </row>
        <row r="28">
          <cell r="E28">
            <v>171</v>
          </cell>
        </row>
        <row r="32">
          <cell r="E32">
            <v>120</v>
          </cell>
        </row>
        <row r="33">
          <cell r="E33">
            <v>550</v>
          </cell>
        </row>
        <row r="34">
          <cell r="E34">
            <v>40</v>
          </cell>
        </row>
        <row r="35">
          <cell r="E35">
            <v>50</v>
          </cell>
        </row>
        <row r="38">
          <cell r="E38">
            <v>1400</v>
          </cell>
        </row>
        <row r="40">
          <cell r="E40">
            <v>20</v>
          </cell>
        </row>
        <row r="41">
          <cell r="E41">
            <v>400</v>
          </cell>
        </row>
        <row r="44">
          <cell r="E44">
            <v>350</v>
          </cell>
        </row>
        <row r="46">
          <cell r="E46">
            <v>500</v>
          </cell>
        </row>
        <row r="48">
          <cell r="E48">
            <v>550</v>
          </cell>
        </row>
        <row r="49">
          <cell r="E49">
            <v>700</v>
          </cell>
        </row>
        <row r="50">
          <cell r="E50">
            <v>110</v>
          </cell>
        </row>
        <row r="53">
          <cell r="E53">
            <v>50</v>
          </cell>
        </row>
        <row r="54">
          <cell r="E54">
            <v>700</v>
          </cell>
        </row>
        <row r="61">
          <cell r="E61">
            <v>415</v>
          </cell>
        </row>
        <row r="62">
          <cell r="E62">
            <v>900</v>
          </cell>
        </row>
        <row r="63">
          <cell r="E63">
            <v>80</v>
          </cell>
        </row>
        <row r="71">
          <cell r="E71">
            <v>3400</v>
          </cell>
        </row>
        <row r="89">
          <cell r="E89">
            <v>543</v>
          </cell>
        </row>
        <row r="90">
          <cell r="E90">
            <v>675</v>
          </cell>
        </row>
        <row r="91">
          <cell r="E91">
            <v>373</v>
          </cell>
        </row>
      </sheetData>
      <sheetData sheetId="35">
        <row r="48">
          <cell r="E48">
            <v>13000</v>
          </cell>
        </row>
        <row r="54">
          <cell r="E54">
            <v>623</v>
          </cell>
        </row>
        <row r="71">
          <cell r="E71">
            <v>3679</v>
          </cell>
        </row>
      </sheetData>
      <sheetData sheetId="37">
        <row r="6">
          <cell r="E6">
            <v>771</v>
          </cell>
        </row>
        <row r="12">
          <cell r="E12">
            <v>75</v>
          </cell>
        </row>
        <row r="16">
          <cell r="E16">
            <v>65</v>
          </cell>
        </row>
        <row r="25">
          <cell r="E25">
            <v>320</v>
          </cell>
        </row>
        <row r="27">
          <cell r="E27">
            <v>13</v>
          </cell>
        </row>
        <row r="28">
          <cell r="E28">
            <v>14</v>
          </cell>
        </row>
        <row r="48">
          <cell r="E48">
            <v>50</v>
          </cell>
        </row>
        <row r="49">
          <cell r="E49">
            <v>10</v>
          </cell>
        </row>
        <row r="50">
          <cell r="E50">
            <v>200</v>
          </cell>
        </row>
        <row r="53">
          <cell r="E53">
            <v>709</v>
          </cell>
        </row>
        <row r="64">
          <cell r="E64">
            <v>80</v>
          </cell>
        </row>
        <row r="68">
          <cell r="E68">
            <v>100</v>
          </cell>
        </row>
        <row r="74">
          <cell r="E74">
            <v>1000</v>
          </cell>
        </row>
        <row r="99">
          <cell r="E99">
            <v>2500</v>
          </cell>
        </row>
      </sheetData>
      <sheetData sheetId="39">
        <row r="70">
          <cell r="E70">
            <v>135</v>
          </cell>
        </row>
      </sheetData>
      <sheetData sheetId="41">
        <row r="21">
          <cell r="E21">
            <v>450</v>
          </cell>
        </row>
        <row r="25">
          <cell r="E25">
            <v>108</v>
          </cell>
        </row>
        <row r="35">
          <cell r="E35">
            <v>57</v>
          </cell>
        </row>
        <row r="46">
          <cell r="E46">
            <v>120</v>
          </cell>
        </row>
        <row r="58">
          <cell r="E58">
            <v>115</v>
          </cell>
        </row>
      </sheetData>
      <sheetData sheetId="43">
        <row r="6">
          <cell r="E6">
            <v>2125</v>
          </cell>
        </row>
        <row r="8">
          <cell r="E8">
            <v>240</v>
          </cell>
        </row>
        <row r="12">
          <cell r="E12">
            <v>96</v>
          </cell>
        </row>
        <row r="13">
          <cell r="E13">
            <v>54</v>
          </cell>
        </row>
        <row r="16">
          <cell r="E16">
            <v>159</v>
          </cell>
        </row>
        <row r="19">
          <cell r="E19">
            <v>179</v>
          </cell>
        </row>
        <row r="27">
          <cell r="E27">
            <v>25</v>
          </cell>
        </row>
        <row r="28">
          <cell r="E28">
            <v>29</v>
          </cell>
        </row>
        <row r="40">
          <cell r="E40">
            <v>20</v>
          </cell>
        </row>
        <row r="44">
          <cell r="E44">
            <v>86</v>
          </cell>
        </row>
        <row r="46">
          <cell r="E46">
            <v>150</v>
          </cell>
        </row>
        <row r="48">
          <cell r="E48">
            <v>150</v>
          </cell>
        </row>
        <row r="49">
          <cell r="E49">
            <v>290</v>
          </cell>
        </row>
        <row r="50">
          <cell r="E50">
            <v>25</v>
          </cell>
        </row>
        <row r="54">
          <cell r="E54">
            <v>50</v>
          </cell>
        </row>
        <row r="61">
          <cell r="E61">
            <v>16</v>
          </cell>
        </row>
        <row r="64">
          <cell r="E64">
            <v>200</v>
          </cell>
        </row>
      </sheetData>
      <sheetData sheetId="47">
        <row r="58">
          <cell r="E58">
            <v>300</v>
          </cell>
        </row>
      </sheetData>
      <sheetData sheetId="49">
        <row r="58">
          <cell r="E58">
            <v>1200</v>
          </cell>
        </row>
      </sheetData>
      <sheetData sheetId="51">
        <row r="8">
          <cell r="E8">
            <v>419</v>
          </cell>
        </row>
        <row r="13">
          <cell r="E13">
            <v>150</v>
          </cell>
        </row>
        <row r="14">
          <cell r="E14">
            <v>160</v>
          </cell>
        </row>
        <row r="15">
          <cell r="E15">
            <v>10</v>
          </cell>
        </row>
        <row r="16">
          <cell r="E16">
            <v>148</v>
          </cell>
        </row>
        <row r="20">
          <cell r="E20">
            <v>5</v>
          </cell>
        </row>
        <row r="21">
          <cell r="E21">
            <v>250</v>
          </cell>
        </row>
        <row r="27">
          <cell r="E27">
            <v>25</v>
          </cell>
        </row>
        <row r="28">
          <cell r="E28">
            <v>29</v>
          </cell>
        </row>
        <row r="35">
          <cell r="E35">
            <v>50</v>
          </cell>
        </row>
        <row r="38">
          <cell r="E38">
            <v>25</v>
          </cell>
        </row>
        <row r="40">
          <cell r="E40">
            <v>20</v>
          </cell>
        </row>
        <row r="44">
          <cell r="E44">
            <v>60</v>
          </cell>
        </row>
        <row r="46">
          <cell r="E46">
            <v>50</v>
          </cell>
        </row>
        <row r="48">
          <cell r="E48">
            <v>55</v>
          </cell>
        </row>
        <row r="49">
          <cell r="E49">
            <v>150</v>
          </cell>
        </row>
        <row r="50">
          <cell r="E50">
            <v>45</v>
          </cell>
        </row>
        <row r="53">
          <cell r="E53">
            <v>150</v>
          </cell>
        </row>
        <row r="54">
          <cell r="E54">
            <v>10</v>
          </cell>
        </row>
        <row r="61">
          <cell r="E61">
            <v>15</v>
          </cell>
        </row>
        <row r="64">
          <cell r="E64">
            <v>100</v>
          </cell>
        </row>
        <row r="70">
          <cell r="E70">
            <v>193</v>
          </cell>
        </row>
      </sheetData>
      <sheetData sheetId="53">
        <row r="37">
          <cell r="E37">
            <v>1119</v>
          </cell>
        </row>
        <row r="70">
          <cell r="E70">
            <v>302</v>
          </cell>
        </row>
      </sheetData>
      <sheetData sheetId="55">
        <row r="58">
          <cell r="E58">
            <v>372</v>
          </cell>
        </row>
      </sheetData>
      <sheetData sheetId="57">
        <row r="6">
          <cell r="E6">
            <v>1540</v>
          </cell>
        </row>
        <row r="13">
          <cell r="E13">
            <v>150</v>
          </cell>
        </row>
        <row r="16">
          <cell r="E16">
            <v>129</v>
          </cell>
        </row>
        <row r="27">
          <cell r="E27">
            <v>25</v>
          </cell>
        </row>
        <row r="28">
          <cell r="E28">
            <v>29</v>
          </cell>
        </row>
        <row r="35">
          <cell r="E35">
            <v>50</v>
          </cell>
        </row>
        <row r="38">
          <cell r="E38">
            <v>10</v>
          </cell>
        </row>
        <row r="39">
          <cell r="E39">
            <v>800</v>
          </cell>
        </row>
        <row r="40">
          <cell r="E40">
            <v>40</v>
          </cell>
        </row>
        <row r="41">
          <cell r="E41">
            <v>100</v>
          </cell>
        </row>
        <row r="46">
          <cell r="E46">
            <v>55</v>
          </cell>
        </row>
        <row r="54">
          <cell r="E54">
            <v>200</v>
          </cell>
        </row>
        <row r="61">
          <cell r="E61">
            <v>100</v>
          </cell>
        </row>
        <row r="64">
          <cell r="E64">
            <v>30</v>
          </cell>
        </row>
        <row r="70">
          <cell r="E70">
            <v>350</v>
          </cell>
        </row>
        <row r="74">
          <cell r="E74">
            <v>15</v>
          </cell>
        </row>
        <row r="75">
          <cell r="E75">
            <v>8</v>
          </cell>
        </row>
      </sheetData>
      <sheetData sheetId="59">
        <row r="80">
          <cell r="E80">
            <v>150</v>
          </cell>
        </row>
        <row r="81">
          <cell r="E81">
            <v>900</v>
          </cell>
        </row>
        <row r="83">
          <cell r="E83">
            <v>50</v>
          </cell>
        </row>
      </sheetData>
      <sheetData sheetId="64">
        <row r="6">
          <cell r="E6">
            <v>2771</v>
          </cell>
        </row>
        <row r="25">
          <cell r="E25">
            <v>374</v>
          </cell>
        </row>
        <row r="40">
          <cell r="E40">
            <v>108</v>
          </cell>
        </row>
        <row r="70">
          <cell r="E70">
            <v>29</v>
          </cell>
        </row>
        <row r="91">
          <cell r="E91">
            <v>291</v>
          </cell>
        </row>
        <row r="92">
          <cell r="E92">
            <v>79</v>
          </cell>
        </row>
      </sheetData>
      <sheetData sheetId="66">
        <row r="21">
          <cell r="E21">
            <v>480</v>
          </cell>
        </row>
        <row r="25">
          <cell r="E25">
            <v>130</v>
          </cell>
        </row>
        <row r="32">
          <cell r="E32">
            <v>40</v>
          </cell>
        </row>
        <row r="35">
          <cell r="E35">
            <v>130</v>
          </cell>
        </row>
        <row r="41">
          <cell r="E41">
            <v>20</v>
          </cell>
        </row>
        <row r="44">
          <cell r="E44">
            <v>130</v>
          </cell>
        </row>
        <row r="46">
          <cell r="E46">
            <v>90</v>
          </cell>
        </row>
        <row r="70">
          <cell r="E70">
            <v>111</v>
          </cell>
        </row>
      </sheetData>
      <sheetData sheetId="68">
        <row r="6">
          <cell r="E6">
            <v>1326</v>
          </cell>
        </row>
        <row r="12">
          <cell r="E12">
            <v>96</v>
          </cell>
        </row>
        <row r="13">
          <cell r="E13">
            <v>54</v>
          </cell>
        </row>
        <row r="16">
          <cell r="E16">
            <v>111</v>
          </cell>
        </row>
        <row r="33">
          <cell r="E33">
            <v>20</v>
          </cell>
        </row>
        <row r="40">
          <cell r="E40">
            <v>20</v>
          </cell>
        </row>
        <row r="48">
          <cell r="E48">
            <v>250</v>
          </cell>
        </row>
        <row r="49">
          <cell r="E49">
            <v>400</v>
          </cell>
        </row>
        <row r="50">
          <cell r="E50">
            <v>45</v>
          </cell>
        </row>
        <row r="53">
          <cell r="E53">
            <v>60</v>
          </cell>
        </row>
        <row r="59">
          <cell r="E59">
            <v>3334</v>
          </cell>
        </row>
      </sheetData>
      <sheetData sheetId="70">
        <row r="41">
          <cell r="E41">
            <v>330</v>
          </cell>
        </row>
        <row r="48">
          <cell r="E48">
            <v>10</v>
          </cell>
        </row>
        <row r="50">
          <cell r="E50">
            <v>80</v>
          </cell>
        </row>
      </sheetData>
      <sheetData sheetId="72">
        <row r="70">
          <cell r="E70">
            <v>62</v>
          </cell>
        </row>
      </sheetData>
      <sheetData sheetId="75">
        <row r="40">
          <cell r="E40">
            <v>20</v>
          </cell>
        </row>
        <row r="41">
          <cell r="E41">
            <v>30</v>
          </cell>
        </row>
        <row r="48">
          <cell r="E48">
            <v>10</v>
          </cell>
        </row>
        <row r="50">
          <cell r="E50">
            <v>10</v>
          </cell>
        </row>
        <row r="53">
          <cell r="E53">
            <v>30</v>
          </cell>
        </row>
        <row r="58">
          <cell r="E58">
            <v>300</v>
          </cell>
        </row>
        <row r="70">
          <cell r="E70">
            <v>108</v>
          </cell>
        </row>
        <row r="93">
          <cell r="E93">
            <v>607</v>
          </cell>
        </row>
        <row r="96">
          <cell r="E96">
            <v>164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 bevétel"/>
      <sheetName val="bev.alap"/>
      <sheetName val="alap"/>
      <sheetName val="841112"/>
      <sheetName val="841112_022130"/>
      <sheetName val="370000"/>
      <sheetName val="370000_052020"/>
      <sheetName val="862101"/>
      <sheetName val="862101_072111"/>
      <sheetName val="869041"/>
      <sheetName val="869041_074031"/>
      <sheetName val="841133"/>
      <sheetName val="841133_011220"/>
      <sheetName val="841901"/>
      <sheetName val="841901_018010"/>
      <sheetName val="ÁT2016"/>
      <sheetName val="889942"/>
      <sheetName val="889942_106020"/>
      <sheetName val="841403"/>
      <sheetName val="841403_066020"/>
    </sheetNames>
    <sheetDataSet>
      <sheetData sheetId="4">
        <row r="14">
          <cell r="E14">
            <v>1500</v>
          </cell>
        </row>
        <row r="45">
          <cell r="E45">
            <v>675</v>
          </cell>
        </row>
        <row r="58">
          <cell r="C58">
            <v>70417</v>
          </cell>
        </row>
        <row r="59">
          <cell r="C59">
            <v>2895</v>
          </cell>
        </row>
        <row r="60">
          <cell r="C60">
            <v>1688</v>
          </cell>
        </row>
      </sheetData>
      <sheetData sheetId="8">
        <row r="13">
          <cell r="E13">
            <v>2700</v>
          </cell>
        </row>
      </sheetData>
      <sheetData sheetId="10">
        <row r="13">
          <cell r="E13">
            <v>2783</v>
          </cell>
        </row>
      </sheetData>
      <sheetData sheetId="12">
        <row r="18">
          <cell r="E18">
            <v>128000</v>
          </cell>
        </row>
        <row r="20">
          <cell r="E20">
            <v>179</v>
          </cell>
        </row>
        <row r="21">
          <cell r="E21">
            <v>6500</v>
          </cell>
        </row>
        <row r="22">
          <cell r="E22">
            <v>25000</v>
          </cell>
        </row>
        <row r="23">
          <cell r="E23">
            <v>3900</v>
          </cell>
        </row>
        <row r="24">
          <cell r="E24">
            <v>20000</v>
          </cell>
        </row>
        <row r="27">
          <cell r="E27">
            <v>900</v>
          </cell>
        </row>
      </sheetData>
      <sheetData sheetId="14">
        <row r="5">
          <cell r="E5">
            <v>36335.2</v>
          </cell>
        </row>
        <row r="7">
          <cell r="E7">
            <v>1594.68</v>
          </cell>
        </row>
        <row r="10">
          <cell r="E10">
            <v>123277.34499999999</v>
          </cell>
        </row>
        <row r="47">
          <cell r="E47">
            <v>520</v>
          </cell>
        </row>
        <row r="49">
          <cell r="E49">
            <v>6870</v>
          </cell>
        </row>
      </sheetData>
      <sheetData sheetId="17">
        <row r="49">
          <cell r="E49">
            <v>450</v>
          </cell>
        </row>
        <row r="55">
          <cell r="E55">
            <v>450</v>
          </cell>
        </row>
      </sheetData>
      <sheetData sheetId="19">
        <row r="39">
          <cell r="E39">
            <v>4731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 bevétel"/>
      <sheetName val="851011_091110"/>
      <sheetName val="Alap"/>
      <sheetName val="370000"/>
      <sheetName val="37000_052020"/>
      <sheetName val="381103_051030"/>
      <sheetName val="562912_096010"/>
      <sheetName val="562913_096020"/>
      <sheetName val="562916_081071"/>
      <sheetName val="562917_999999"/>
      <sheetName val="680001"/>
      <sheetName val="680001_013350"/>
      <sheetName val="680002"/>
      <sheetName val="680002_013350"/>
      <sheetName val="841154"/>
      <sheetName val="841154_013350"/>
      <sheetName val="841403"/>
      <sheetName val="841403_066020"/>
      <sheetName val="889921_107051"/>
      <sheetName val="890442_041231"/>
      <sheetName val="890444_041231"/>
      <sheetName val="910502"/>
      <sheetName val="910502_082092"/>
      <sheetName val="940000"/>
      <sheetName val="940000_013390"/>
      <sheetName val="960302_013320"/>
    </sheetNames>
    <sheetDataSet>
      <sheetData sheetId="1">
        <row r="31">
          <cell r="E31">
            <v>447</v>
          </cell>
        </row>
      </sheetData>
      <sheetData sheetId="4">
        <row r="13">
          <cell r="E13">
            <v>5676</v>
          </cell>
        </row>
        <row r="19">
          <cell r="E19">
            <v>1533</v>
          </cell>
        </row>
        <row r="31">
          <cell r="E31">
            <v>7209</v>
          </cell>
        </row>
      </sheetData>
      <sheetData sheetId="5">
        <row r="11">
          <cell r="E11">
            <v>3500</v>
          </cell>
        </row>
        <row r="19">
          <cell r="E19">
            <v>945</v>
          </cell>
        </row>
        <row r="32">
          <cell r="E32">
            <v>4445</v>
          </cell>
        </row>
      </sheetData>
      <sheetData sheetId="6">
        <row r="15">
          <cell r="E15">
            <v>1313</v>
          </cell>
        </row>
        <row r="19">
          <cell r="E19">
            <v>355</v>
          </cell>
        </row>
        <row r="32">
          <cell r="E32">
            <v>1668</v>
          </cell>
        </row>
      </sheetData>
      <sheetData sheetId="7">
        <row r="16">
          <cell r="E16">
            <v>5951</v>
          </cell>
        </row>
        <row r="19">
          <cell r="E19">
            <v>1607</v>
          </cell>
        </row>
        <row r="32">
          <cell r="E32">
            <v>7558</v>
          </cell>
        </row>
      </sheetData>
      <sheetData sheetId="8">
        <row r="9">
          <cell r="E9">
            <v>4128</v>
          </cell>
        </row>
        <row r="19">
          <cell r="E19">
            <v>1115</v>
          </cell>
        </row>
        <row r="32">
          <cell r="E32">
            <v>5243</v>
          </cell>
        </row>
      </sheetData>
      <sheetData sheetId="9">
        <row r="9">
          <cell r="E9">
            <v>3525</v>
          </cell>
        </row>
        <row r="19">
          <cell r="E19">
            <v>952</v>
          </cell>
        </row>
        <row r="32">
          <cell r="E32">
            <v>4477</v>
          </cell>
        </row>
      </sheetData>
      <sheetData sheetId="11">
        <row r="12">
          <cell r="E12">
            <v>3200</v>
          </cell>
        </row>
        <row r="32">
          <cell r="E32">
            <v>3200</v>
          </cell>
        </row>
      </sheetData>
      <sheetData sheetId="13">
        <row r="8">
          <cell r="E8">
            <v>8400</v>
          </cell>
        </row>
        <row r="11">
          <cell r="E11">
            <v>3400</v>
          </cell>
        </row>
        <row r="13">
          <cell r="E13">
            <v>344</v>
          </cell>
        </row>
        <row r="19">
          <cell r="E19">
            <v>918</v>
          </cell>
        </row>
      </sheetData>
      <sheetData sheetId="15">
        <row r="33">
          <cell r="E33">
            <v>22934</v>
          </cell>
        </row>
      </sheetData>
      <sheetData sheetId="18">
        <row r="19">
          <cell r="J19">
            <v>491</v>
          </cell>
        </row>
        <row r="32">
          <cell r="J32">
            <v>2307</v>
          </cell>
        </row>
      </sheetData>
      <sheetData sheetId="19">
        <row r="32">
          <cell r="E32">
            <v>3537</v>
          </cell>
        </row>
      </sheetData>
      <sheetData sheetId="20">
        <row r="5">
          <cell r="E5">
            <v>2238</v>
          </cell>
        </row>
        <row r="32">
          <cell r="E32">
            <v>2238</v>
          </cell>
        </row>
      </sheetData>
      <sheetData sheetId="22">
        <row r="8">
          <cell r="E8">
            <v>320</v>
          </cell>
        </row>
        <row r="9">
          <cell r="E9">
            <v>130</v>
          </cell>
        </row>
        <row r="30">
          <cell r="E30">
            <v>450</v>
          </cell>
        </row>
      </sheetData>
      <sheetData sheetId="24">
        <row r="32">
          <cell r="E32">
            <v>800</v>
          </cell>
        </row>
      </sheetData>
      <sheetData sheetId="25">
        <row r="9">
          <cell r="E9">
            <v>185</v>
          </cell>
        </row>
        <row r="32">
          <cell r="E32">
            <v>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97"/>
  <sheetViews>
    <sheetView view="pageBreakPreview" zoomScale="80" zoomScaleSheetLayoutView="80" zoomScalePageLayoutView="0" workbookViewId="0" topLeftCell="A67">
      <selection activeCell="B1" sqref="B1"/>
    </sheetView>
  </sheetViews>
  <sheetFormatPr defaultColWidth="9.140625" defaultRowHeight="15"/>
  <cols>
    <col min="1" max="1" width="4.57421875" style="1" customWidth="1"/>
    <col min="2" max="2" width="20.140625" style="1" customWidth="1"/>
    <col min="3" max="3" width="32.140625" style="1" customWidth="1"/>
    <col min="4" max="8" width="9.140625" style="1" customWidth="1"/>
    <col min="9" max="9" width="10.00390625" style="1" customWidth="1"/>
    <col min="10" max="16384" width="9.140625" style="1" customWidth="1"/>
  </cols>
  <sheetData>
    <row r="1" ht="12.75">
      <c r="B1" s="1" t="s">
        <v>851</v>
      </c>
    </row>
    <row r="2" ht="12.75">
      <c r="C2" s="108"/>
    </row>
    <row r="5" spans="1:3" ht="12.75">
      <c r="A5" s="104"/>
      <c r="B5" s="345" t="s">
        <v>350</v>
      </c>
      <c r="C5" s="346"/>
    </row>
    <row r="6" spans="2:9" s="105" customFormat="1" ht="12.75">
      <c r="B6" s="105" t="s">
        <v>27</v>
      </c>
      <c r="C6" s="105" t="s">
        <v>28</v>
      </c>
      <c r="D6" s="105" t="s">
        <v>29</v>
      </c>
      <c r="E6" s="105" t="s">
        <v>30</v>
      </c>
      <c r="F6" s="105" t="s">
        <v>31</v>
      </c>
      <c r="G6" s="105" t="s">
        <v>105</v>
      </c>
      <c r="H6" s="105" t="s">
        <v>60</v>
      </c>
      <c r="I6" s="105" t="s">
        <v>61</v>
      </c>
    </row>
    <row r="7" spans="1:9" ht="25.5">
      <c r="A7" s="1">
        <v>1</v>
      </c>
      <c r="B7" s="3" t="s">
        <v>0</v>
      </c>
      <c r="C7" s="3"/>
      <c r="D7" s="129" t="s">
        <v>771</v>
      </c>
      <c r="E7" s="248" t="s">
        <v>774</v>
      </c>
      <c r="F7" s="248" t="s">
        <v>775</v>
      </c>
      <c r="G7" s="248" t="s">
        <v>827</v>
      </c>
      <c r="H7" s="248" t="s">
        <v>828</v>
      </c>
      <c r="I7" s="248" t="s">
        <v>820</v>
      </c>
    </row>
    <row r="8" ht="12.75">
      <c r="A8" s="1">
        <v>2</v>
      </c>
    </row>
    <row r="9" ht="12.75">
      <c r="A9" s="1">
        <v>3</v>
      </c>
    </row>
    <row r="10" spans="1:14" ht="12.75">
      <c r="A10" s="1">
        <v>4</v>
      </c>
      <c r="B10" s="1">
        <v>841901</v>
      </c>
      <c r="C10" s="1" t="s">
        <v>629</v>
      </c>
      <c r="D10" s="4">
        <f>'[4]841901_018010'!E49-520</f>
        <v>6350</v>
      </c>
      <c r="E10" s="1">
        <v>6350</v>
      </c>
      <c r="F10" s="1">
        <v>2000</v>
      </c>
      <c r="G10" s="1">
        <v>6350</v>
      </c>
      <c r="H10" s="1">
        <v>3651</v>
      </c>
      <c r="I10" s="256">
        <f>H10/G10</f>
        <v>0.5749606299212598</v>
      </c>
      <c r="J10" s="1" t="s">
        <v>829</v>
      </c>
      <c r="K10" s="4"/>
      <c r="L10" s="4"/>
      <c r="N10" s="4"/>
    </row>
    <row r="11" spans="1:11" ht="12.75">
      <c r="A11" s="1">
        <v>5</v>
      </c>
      <c r="B11" s="1">
        <v>889942</v>
      </c>
      <c r="C11" s="1" t="s">
        <v>630</v>
      </c>
      <c r="D11" s="1">
        <f>'[4]889942_106020'!E55</f>
        <v>450</v>
      </c>
      <c r="E11" s="1">
        <v>450</v>
      </c>
      <c r="F11" s="1">
        <v>194</v>
      </c>
      <c r="G11" s="1">
        <v>450</v>
      </c>
      <c r="H11" s="1">
        <v>271</v>
      </c>
      <c r="I11" s="256">
        <f>H11/G11</f>
        <v>0.6022222222222222</v>
      </c>
      <c r="K11" s="4"/>
    </row>
    <row r="12" spans="1:11" ht="12.75">
      <c r="A12" s="1">
        <v>6</v>
      </c>
      <c r="C12" s="1" t="s">
        <v>631</v>
      </c>
      <c r="G12" s="1">
        <v>3800</v>
      </c>
      <c r="H12" s="1">
        <v>3800</v>
      </c>
      <c r="I12" s="256"/>
      <c r="J12" s="1" t="s">
        <v>830</v>
      </c>
      <c r="K12" s="4"/>
    </row>
    <row r="13" spans="1:12" ht="12.75">
      <c r="A13" s="1">
        <v>7</v>
      </c>
      <c r="B13" s="1">
        <v>841901</v>
      </c>
      <c r="C13" s="1" t="s">
        <v>1</v>
      </c>
      <c r="D13" s="1">
        <f>'[4]841901_018010'!E47</f>
        <v>520</v>
      </c>
      <c r="E13" s="1">
        <v>520</v>
      </c>
      <c r="F13" s="1">
        <v>231</v>
      </c>
      <c r="G13" s="1">
        <v>520</v>
      </c>
      <c r="H13" s="1">
        <v>360</v>
      </c>
      <c r="I13" s="256">
        <f>H13/G13</f>
        <v>0.6923076923076923</v>
      </c>
      <c r="K13" s="4"/>
      <c r="L13" s="4"/>
    </row>
    <row r="14" spans="1:11" ht="12.75">
      <c r="A14" s="1">
        <v>8</v>
      </c>
      <c r="C14" s="1" t="s">
        <v>632</v>
      </c>
      <c r="F14" s="1">
        <v>852</v>
      </c>
      <c r="G14" s="1">
        <v>1400</v>
      </c>
      <c r="H14" s="1">
        <v>1402</v>
      </c>
      <c r="I14" s="256"/>
      <c r="K14" s="4"/>
    </row>
    <row r="15" spans="1:9" ht="12.75">
      <c r="A15" s="1">
        <v>9</v>
      </c>
      <c r="B15" s="1">
        <v>841126</v>
      </c>
      <c r="C15" s="1" t="s">
        <v>2</v>
      </c>
      <c r="I15" s="256"/>
    </row>
    <row r="16" spans="1:9" ht="12.75">
      <c r="A16" s="1">
        <v>10</v>
      </c>
      <c r="C16" s="1" t="s">
        <v>3</v>
      </c>
      <c r="D16" s="1">
        <f>'[4]841112_022130'!C59</f>
        <v>2895</v>
      </c>
      <c r="E16" s="1">
        <v>1337</v>
      </c>
      <c r="G16" s="1">
        <v>1337</v>
      </c>
      <c r="I16" s="256">
        <f>F16/E16</f>
        <v>0</v>
      </c>
    </row>
    <row r="17" spans="1:9" ht="12.75">
      <c r="A17" s="1">
        <v>11</v>
      </c>
      <c r="C17" s="1" t="s">
        <v>274</v>
      </c>
      <c r="D17" s="1">
        <f>'[4]841112_022130'!C60</f>
        <v>1688</v>
      </c>
      <c r="E17" s="252">
        <v>1688</v>
      </c>
      <c r="G17" s="1">
        <v>1688</v>
      </c>
      <c r="I17" s="256">
        <f>F17/E17</f>
        <v>0</v>
      </c>
    </row>
    <row r="18" spans="1:14" ht="12.75">
      <c r="A18" s="1">
        <v>12</v>
      </c>
      <c r="B18" s="5"/>
      <c r="C18" s="5" t="s">
        <v>4</v>
      </c>
      <c r="D18" s="4">
        <f>SUM(D10:D17)</f>
        <v>11903</v>
      </c>
      <c r="E18" s="4">
        <f>SUM(E10:E17)</f>
        <v>10345</v>
      </c>
      <c r="F18" s="4">
        <f>SUM(F10:F17)</f>
        <v>3277</v>
      </c>
      <c r="G18" s="4">
        <f>SUM(G10:G17)</f>
        <v>15545</v>
      </c>
      <c r="H18" s="4">
        <f>SUM(H10:H17)</f>
        <v>9484</v>
      </c>
      <c r="I18" s="256">
        <f>H18/G18</f>
        <v>0.6100997105178514</v>
      </c>
      <c r="J18" s="5"/>
      <c r="K18" s="4"/>
      <c r="L18" s="4"/>
      <c r="M18" s="4"/>
      <c r="N18" s="4"/>
    </row>
    <row r="19" spans="1:10" ht="12.75">
      <c r="A19" s="1">
        <v>13</v>
      </c>
      <c r="B19" s="5"/>
      <c r="C19" s="5"/>
      <c r="F19" s="3"/>
      <c r="G19" s="3"/>
      <c r="H19" s="3"/>
      <c r="I19" s="256"/>
      <c r="J19" s="3"/>
    </row>
    <row r="20" spans="1:9" ht="12.75">
      <c r="A20" s="1">
        <v>14</v>
      </c>
      <c r="B20" s="3" t="s">
        <v>5</v>
      </c>
      <c r="C20" s="3"/>
      <c r="I20" s="256"/>
    </row>
    <row r="21" spans="1:14" ht="12.75">
      <c r="A21" s="1">
        <v>15</v>
      </c>
      <c r="I21" s="256"/>
      <c r="K21" s="4"/>
      <c r="L21" s="10"/>
      <c r="N21" s="4"/>
    </row>
    <row r="22" spans="1:12" ht="12.75">
      <c r="A22" s="1">
        <v>16</v>
      </c>
      <c r="B22" s="1">
        <v>841901</v>
      </c>
      <c r="C22" s="1" t="s">
        <v>6</v>
      </c>
      <c r="D22" s="4">
        <f>'[4]841901_018010'!E10</f>
        <v>123277.34499999999</v>
      </c>
      <c r="E22" s="1">
        <f>124579-947</f>
        <v>123632</v>
      </c>
      <c r="F22" s="1">
        <f>65118-948</f>
        <v>64170</v>
      </c>
      <c r="G22" s="1">
        <v>134084</v>
      </c>
      <c r="H22" s="1">
        <v>104299</v>
      </c>
      <c r="I22" s="256">
        <f>H22/G22</f>
        <v>0.7778631305748636</v>
      </c>
      <c r="K22" s="4"/>
      <c r="L22" s="10"/>
    </row>
    <row r="23" spans="1:9" ht="12.75">
      <c r="A23" s="1">
        <v>17</v>
      </c>
      <c r="C23" s="1" t="s">
        <v>787</v>
      </c>
      <c r="E23" s="1">
        <v>947</v>
      </c>
      <c r="F23" s="1">
        <v>948</v>
      </c>
      <c r="G23" s="1">
        <v>1171</v>
      </c>
      <c r="H23" s="1">
        <v>1170</v>
      </c>
      <c r="I23" s="256">
        <f>H23/G23</f>
        <v>0.9991460290350128</v>
      </c>
    </row>
    <row r="24" spans="1:14" ht="12.75">
      <c r="A24" s="1">
        <v>18</v>
      </c>
      <c r="B24" s="1">
        <v>841126</v>
      </c>
      <c r="C24" s="1" t="s">
        <v>318</v>
      </c>
      <c r="F24" s="1">
        <v>33</v>
      </c>
      <c r="G24" s="1">
        <v>33</v>
      </c>
      <c r="H24" s="1">
        <v>33</v>
      </c>
      <c r="I24" s="256"/>
      <c r="K24" s="4"/>
      <c r="L24" s="4"/>
      <c r="N24" s="4"/>
    </row>
    <row r="25" spans="1:14" ht="12.75">
      <c r="A25" s="1">
        <v>19</v>
      </c>
      <c r="B25" s="1">
        <v>841133</v>
      </c>
      <c r="C25" s="1" t="s">
        <v>7</v>
      </c>
      <c r="D25" s="4">
        <f>'[4]841133_011220'!E18</f>
        <v>128000</v>
      </c>
      <c r="E25" s="1">
        <v>128000</v>
      </c>
      <c r="F25" s="1">
        <v>81005</v>
      </c>
      <c r="G25" s="1">
        <v>128000</v>
      </c>
      <c r="H25" s="1">
        <v>131391</v>
      </c>
      <c r="I25" s="256">
        <f>H25/G25</f>
        <v>1.0264921875</v>
      </c>
      <c r="K25" s="4"/>
      <c r="L25" s="4"/>
      <c r="N25" s="4"/>
    </row>
    <row r="26" spans="1:14" ht="12.75">
      <c r="A26" s="1">
        <v>20</v>
      </c>
      <c r="C26" s="1" t="s">
        <v>8</v>
      </c>
      <c r="D26" s="4">
        <f>'[4]841133_011220'!E21</f>
        <v>6500</v>
      </c>
      <c r="E26" s="1">
        <v>6500</v>
      </c>
      <c r="F26" s="1">
        <v>4270</v>
      </c>
      <c r="G26" s="1">
        <v>6500</v>
      </c>
      <c r="H26" s="1">
        <v>6185</v>
      </c>
      <c r="I26" s="256">
        <f>H26/G26</f>
        <v>0.9515384615384616</v>
      </c>
      <c r="K26" s="4"/>
      <c r="L26" s="4"/>
      <c r="N26" s="4"/>
    </row>
    <row r="27" spans="1:14" ht="12.75">
      <c r="A27" s="1">
        <v>21</v>
      </c>
      <c r="C27" s="1" t="s">
        <v>319</v>
      </c>
      <c r="D27" s="4">
        <f>'[4]841133_011220'!E20</f>
        <v>179</v>
      </c>
      <c r="E27" s="1">
        <v>179</v>
      </c>
      <c r="F27" s="1">
        <v>108</v>
      </c>
      <c r="G27" s="1">
        <v>179</v>
      </c>
      <c r="H27" s="1">
        <v>162</v>
      </c>
      <c r="I27" s="256">
        <f aca="true" t="shared" si="0" ref="I27:I89">H27/G27</f>
        <v>0.9050279329608939</v>
      </c>
      <c r="K27" s="4"/>
      <c r="L27" s="4"/>
      <c r="N27" s="4"/>
    </row>
    <row r="28" spans="1:14" ht="12.75">
      <c r="A28" s="1">
        <v>22</v>
      </c>
      <c r="C28" s="1" t="s">
        <v>320</v>
      </c>
      <c r="D28" s="4">
        <f>'[4]841133_011220'!E24</f>
        <v>20000</v>
      </c>
      <c r="E28" s="1">
        <v>20000</v>
      </c>
      <c r="F28" s="1">
        <v>818</v>
      </c>
      <c r="G28" s="1">
        <v>20000</v>
      </c>
      <c r="H28" s="1">
        <v>20941</v>
      </c>
      <c r="I28" s="256">
        <f t="shared" si="0"/>
        <v>1.04705</v>
      </c>
      <c r="K28" s="4"/>
      <c r="L28" s="4"/>
      <c r="N28" s="4"/>
    </row>
    <row r="29" spans="1:14" ht="12.75">
      <c r="A29" s="1">
        <v>23</v>
      </c>
      <c r="C29" s="1" t="s">
        <v>9</v>
      </c>
      <c r="D29" s="4">
        <f>'[4]841133_011220'!C19</f>
        <v>0</v>
      </c>
      <c r="G29" s="1">
        <v>0</v>
      </c>
      <c r="I29" s="256"/>
      <c r="K29" s="4"/>
      <c r="L29" s="4"/>
      <c r="N29" s="4"/>
    </row>
    <row r="30" spans="1:14" ht="12.75">
      <c r="A30" s="1">
        <v>24</v>
      </c>
      <c r="C30" s="1" t="s">
        <v>633</v>
      </c>
      <c r="D30" s="4">
        <f>'[4]841133_011220'!E22</f>
        <v>25000</v>
      </c>
      <c r="E30" s="1">
        <v>25000</v>
      </c>
      <c r="F30" s="1">
        <v>24412</v>
      </c>
      <c r="G30" s="1">
        <v>25000</v>
      </c>
      <c r="H30" s="1">
        <v>37258</v>
      </c>
      <c r="I30" s="256">
        <f t="shared" si="0"/>
        <v>1.49032</v>
      </c>
      <c r="K30" s="4"/>
      <c r="L30" s="4"/>
      <c r="N30" s="4"/>
    </row>
    <row r="31" spans="1:14" ht="12.75">
      <c r="A31" s="1">
        <v>25</v>
      </c>
      <c r="C31" s="1" t="s">
        <v>10</v>
      </c>
      <c r="D31" s="4">
        <f>'[4]841133_011220'!E27</f>
        <v>900</v>
      </c>
      <c r="E31" s="1">
        <v>900</v>
      </c>
      <c r="F31" s="1">
        <v>294</v>
      </c>
      <c r="G31" s="1">
        <v>900</v>
      </c>
      <c r="H31" s="1">
        <v>295</v>
      </c>
      <c r="I31" s="256">
        <f t="shared" si="0"/>
        <v>0.3277777777777778</v>
      </c>
      <c r="K31" s="4"/>
      <c r="L31" s="4"/>
      <c r="N31" s="4"/>
    </row>
    <row r="32" spans="1:14" ht="12.75">
      <c r="A32" s="1">
        <v>26</v>
      </c>
      <c r="C32" s="1" t="s">
        <v>634</v>
      </c>
      <c r="D32" s="4">
        <f>'[4]841133_011220'!E23</f>
        <v>3900</v>
      </c>
      <c r="E32" s="1">
        <v>3900</v>
      </c>
      <c r="F32" s="1">
        <v>2698</v>
      </c>
      <c r="G32" s="1">
        <v>3900</v>
      </c>
      <c r="H32" s="1">
        <v>3165</v>
      </c>
      <c r="I32" s="256">
        <f t="shared" si="0"/>
        <v>0.8115384615384615</v>
      </c>
      <c r="K32" s="4"/>
      <c r="L32" s="4"/>
      <c r="N32" s="4"/>
    </row>
    <row r="33" spans="1:11" ht="12.75">
      <c r="A33" s="1">
        <v>27</v>
      </c>
      <c r="C33" s="1" t="s">
        <v>635</v>
      </c>
      <c r="D33" s="4"/>
      <c r="F33" s="1">
        <v>1509</v>
      </c>
      <c r="G33" s="1">
        <v>1552</v>
      </c>
      <c r="H33" s="1">
        <v>1552</v>
      </c>
      <c r="I33" s="256">
        <f t="shared" si="0"/>
        <v>1</v>
      </c>
      <c r="K33" s="4"/>
    </row>
    <row r="34" spans="1:14" ht="12.75">
      <c r="A34" s="1">
        <v>28</v>
      </c>
      <c r="C34" s="1" t="s">
        <v>636</v>
      </c>
      <c r="I34" s="256"/>
      <c r="J34" s="1">
        <f>SUM(E25:E34)</f>
        <v>184479</v>
      </c>
      <c r="K34" s="1">
        <f>SUM(F25:F34)</f>
        <v>115114</v>
      </c>
      <c r="N34" s="4"/>
    </row>
    <row r="35" spans="1:9" ht="12.75">
      <c r="A35" s="1">
        <v>29</v>
      </c>
      <c r="C35" s="1" t="s">
        <v>637</v>
      </c>
      <c r="D35" s="4"/>
      <c r="I35" s="256"/>
    </row>
    <row r="36" spans="1:9" ht="12.75">
      <c r="A36" s="1">
        <v>30</v>
      </c>
      <c r="B36" s="1">
        <v>841112</v>
      </c>
      <c r="C36" s="1" t="s">
        <v>11</v>
      </c>
      <c r="D36" s="1">
        <f>'[4]841112_022130'!E45</f>
        <v>675</v>
      </c>
      <c r="E36" s="1">
        <v>675</v>
      </c>
      <c r="F36" s="1">
        <v>217</v>
      </c>
      <c r="G36" s="1">
        <v>675</v>
      </c>
      <c r="H36" s="1">
        <v>319</v>
      </c>
      <c r="I36" s="256">
        <f t="shared" si="0"/>
        <v>0.4725925925925926</v>
      </c>
    </row>
    <row r="37" spans="1:11" ht="12.75">
      <c r="A37" s="1">
        <v>31</v>
      </c>
      <c r="B37" s="1">
        <v>841112</v>
      </c>
      <c r="C37" s="1" t="s">
        <v>638</v>
      </c>
      <c r="D37" s="1">
        <f>'[4]841112_022130'!E14</f>
        <v>1500</v>
      </c>
      <c r="E37" s="1">
        <v>1499</v>
      </c>
      <c r="F37" s="1">
        <v>2602</v>
      </c>
      <c r="G37" s="1">
        <v>2602</v>
      </c>
      <c r="H37" s="1">
        <v>2602</v>
      </c>
      <c r="I37" s="256">
        <f t="shared" si="0"/>
        <v>1</v>
      </c>
      <c r="K37" s="4"/>
    </row>
    <row r="38" spans="1:11" ht="12.75">
      <c r="A38" s="1">
        <v>32</v>
      </c>
      <c r="B38" s="1">
        <v>841112</v>
      </c>
      <c r="C38" s="1" t="s">
        <v>778</v>
      </c>
      <c r="E38" s="1">
        <v>200</v>
      </c>
      <c r="F38" s="1">
        <v>202</v>
      </c>
      <c r="G38" s="1">
        <v>200</v>
      </c>
      <c r="H38" s="1">
        <v>202</v>
      </c>
      <c r="I38" s="256">
        <f t="shared" si="0"/>
        <v>1.01</v>
      </c>
      <c r="K38" s="4"/>
    </row>
    <row r="39" spans="1:11" ht="12.75">
      <c r="A39" s="1">
        <v>33</v>
      </c>
      <c r="B39" s="1">
        <v>841112</v>
      </c>
      <c r="C39" s="1" t="s">
        <v>779</v>
      </c>
      <c r="F39" s="1">
        <v>50</v>
      </c>
      <c r="G39" s="1">
        <v>900</v>
      </c>
      <c r="H39" s="1">
        <v>900</v>
      </c>
      <c r="I39" s="256">
        <f t="shared" si="0"/>
        <v>1</v>
      </c>
      <c r="K39" s="4"/>
    </row>
    <row r="40" spans="1:11" ht="12.75">
      <c r="A40" s="1">
        <v>34</v>
      </c>
      <c r="B40" s="1">
        <v>841358</v>
      </c>
      <c r="C40" s="1" t="s">
        <v>639</v>
      </c>
      <c r="D40" s="1">
        <v>0</v>
      </c>
      <c r="F40" s="6"/>
      <c r="G40" s="6"/>
      <c r="H40" s="6"/>
      <c r="I40" s="256"/>
      <c r="K40" s="4"/>
    </row>
    <row r="41" spans="1:9" ht="12.75">
      <c r="A41" s="1">
        <v>35</v>
      </c>
      <c r="B41" s="6">
        <v>869041</v>
      </c>
      <c r="C41" s="1" t="s">
        <v>640</v>
      </c>
      <c r="D41" s="1">
        <f>'[4]869041_074031'!E13</f>
        <v>2783</v>
      </c>
      <c r="E41" s="1">
        <v>2783</v>
      </c>
      <c r="F41" s="1">
        <v>1769</v>
      </c>
      <c r="G41" s="1">
        <v>2992</v>
      </c>
      <c r="H41" s="1">
        <v>2683</v>
      </c>
      <c r="I41" s="256">
        <f t="shared" si="0"/>
        <v>0.8967245989304813</v>
      </c>
    </row>
    <row r="42" spans="1:9" ht="12.75">
      <c r="A42" s="1">
        <v>36</v>
      </c>
      <c r="B42" s="1">
        <v>862101</v>
      </c>
      <c r="C42" s="1" t="s">
        <v>641</v>
      </c>
      <c r="D42" s="1">
        <f>'[4]862101_072111'!E13</f>
        <v>2700</v>
      </c>
      <c r="E42" s="1">
        <v>4940</v>
      </c>
      <c r="F42" s="1">
        <v>4703</v>
      </c>
      <c r="G42" s="1">
        <v>11124</v>
      </c>
      <c r="H42" s="1">
        <v>8201</v>
      </c>
      <c r="I42" s="256">
        <f t="shared" si="0"/>
        <v>0.7372348076231572</v>
      </c>
    </row>
    <row r="43" spans="1:9" ht="12.75">
      <c r="A43" s="1">
        <v>37</v>
      </c>
      <c r="B43" s="1">
        <v>841403</v>
      </c>
      <c r="C43" s="1" t="s">
        <v>642</v>
      </c>
      <c r="D43" s="1">
        <v>2731</v>
      </c>
      <c r="E43" s="1">
        <v>2731</v>
      </c>
      <c r="G43" s="1">
        <v>2731</v>
      </c>
      <c r="I43" s="256">
        <f t="shared" si="0"/>
        <v>0</v>
      </c>
    </row>
    <row r="44" spans="1:9" ht="12.75">
      <c r="A44" s="1">
        <v>38</v>
      </c>
      <c r="B44" s="1">
        <v>841403</v>
      </c>
      <c r="C44" s="1" t="s">
        <v>643</v>
      </c>
      <c r="D44" s="1">
        <f>'[4]841403_066020'!E39-2731</f>
        <v>2000</v>
      </c>
      <c r="E44" s="1">
        <v>2000</v>
      </c>
      <c r="G44" s="1">
        <v>2000</v>
      </c>
      <c r="H44" s="1">
        <v>800</v>
      </c>
      <c r="I44" s="256">
        <f t="shared" si="0"/>
        <v>0.4</v>
      </c>
    </row>
    <row r="45" spans="1:9" ht="12.75">
      <c r="A45" s="1">
        <v>39</v>
      </c>
      <c r="B45" s="1">
        <v>841403</v>
      </c>
      <c r="C45" s="1" t="s">
        <v>781</v>
      </c>
      <c r="E45" s="1">
        <v>706</v>
      </c>
      <c r="F45" s="1">
        <v>706</v>
      </c>
      <c r="G45" s="1">
        <v>706</v>
      </c>
      <c r="H45" s="1">
        <v>706</v>
      </c>
      <c r="I45" s="256">
        <f t="shared" si="0"/>
        <v>1</v>
      </c>
    </row>
    <row r="46" spans="1:9" ht="12.75">
      <c r="A46" s="1">
        <v>40</v>
      </c>
      <c r="B46" s="1">
        <v>841403</v>
      </c>
      <c r="C46" s="1" t="s">
        <v>782</v>
      </c>
      <c r="E46" s="1">
        <v>345</v>
      </c>
      <c r="F46" s="1">
        <v>345</v>
      </c>
      <c r="G46" s="1">
        <v>345</v>
      </c>
      <c r="H46" s="1">
        <v>345</v>
      </c>
      <c r="I46" s="256">
        <f t="shared" si="0"/>
        <v>1</v>
      </c>
    </row>
    <row r="47" spans="1:14" ht="12.75">
      <c r="A47" s="1">
        <v>41</v>
      </c>
      <c r="B47" s="1">
        <v>841126</v>
      </c>
      <c r="C47" s="1" t="s">
        <v>103</v>
      </c>
      <c r="D47" s="1">
        <f>'[4]841112_022130'!C58</f>
        <v>70417</v>
      </c>
      <c r="E47" s="252">
        <f>88832-1688-1337</f>
        <v>85807</v>
      </c>
      <c r="F47" s="251">
        <v>88832</v>
      </c>
      <c r="G47" s="251">
        <f>88832-1688-1337</f>
        <v>85807</v>
      </c>
      <c r="H47" s="251">
        <v>88832</v>
      </c>
      <c r="I47" s="256">
        <f t="shared" si="0"/>
        <v>1.035253534093955</v>
      </c>
      <c r="J47" s="5"/>
      <c r="K47" s="4"/>
      <c r="L47" s="4"/>
      <c r="M47" s="4"/>
      <c r="N47" s="4"/>
    </row>
    <row r="48" spans="1:9" ht="12.75">
      <c r="A48" s="1">
        <v>42</v>
      </c>
      <c r="B48" s="5"/>
      <c r="C48" s="5" t="s">
        <v>4</v>
      </c>
      <c r="D48" s="4">
        <f>SUM(D22:D47)</f>
        <v>390562.345</v>
      </c>
      <c r="E48" s="4">
        <f>SUM(E22:E47)</f>
        <v>410744</v>
      </c>
      <c r="F48" s="4">
        <f>SUM(F22:F47)</f>
        <v>279691</v>
      </c>
      <c r="G48" s="4">
        <f>SUM(G22:G47)</f>
        <v>431401</v>
      </c>
      <c r="H48" s="4">
        <f>SUM(H22:H47)</f>
        <v>412041</v>
      </c>
      <c r="I48" s="256">
        <f t="shared" si="0"/>
        <v>0.9551229598447848</v>
      </c>
    </row>
    <row r="49" spans="1:14" ht="12.75">
      <c r="A49" s="1">
        <v>43</v>
      </c>
      <c r="F49" s="5"/>
      <c r="G49" s="5"/>
      <c r="H49" s="5"/>
      <c r="I49" s="256"/>
      <c r="J49" s="5"/>
      <c r="K49" s="4"/>
      <c r="L49" s="4"/>
      <c r="M49" s="4"/>
      <c r="N49" s="4"/>
    </row>
    <row r="50" spans="1:10" ht="12.75">
      <c r="A50" s="1">
        <v>44</v>
      </c>
      <c r="B50" s="5" t="s">
        <v>644</v>
      </c>
      <c r="C50" s="5"/>
      <c r="D50" s="4">
        <f>SUM(D48+D18)</f>
        <v>402465.345</v>
      </c>
      <c r="E50" s="4">
        <f>SUM(E48+E18)</f>
        <v>421089</v>
      </c>
      <c r="F50" s="4">
        <f>SUM(F48+F18)</f>
        <v>282968</v>
      </c>
      <c r="G50" s="4">
        <f>SUM(G48+G18)</f>
        <v>446946</v>
      </c>
      <c r="H50" s="4">
        <f>SUM(H48+H18)</f>
        <v>421525</v>
      </c>
      <c r="I50" s="256">
        <f t="shared" si="0"/>
        <v>0.943122882853857</v>
      </c>
      <c r="J50" s="1">
        <v>282968</v>
      </c>
    </row>
    <row r="51" spans="1:9" ht="12.75">
      <c r="A51" s="1">
        <v>45</v>
      </c>
      <c r="C51" s="1" t="s">
        <v>789</v>
      </c>
      <c r="E51" s="1">
        <v>421089</v>
      </c>
      <c r="F51" s="1">
        <v>282968</v>
      </c>
      <c r="G51" s="1">
        <v>446946</v>
      </c>
      <c r="H51" s="1">
        <v>421525</v>
      </c>
      <c r="I51" s="256">
        <f t="shared" si="0"/>
        <v>0.943122882853857</v>
      </c>
    </row>
    <row r="52" spans="1:9" ht="12.75">
      <c r="A52" s="1">
        <v>46</v>
      </c>
      <c r="B52" s="1" t="s">
        <v>300</v>
      </c>
      <c r="C52" s="1" t="s">
        <v>301</v>
      </c>
      <c r="D52" s="1">
        <f>'[5]851011_091110'!$E$31</f>
        <v>447</v>
      </c>
      <c r="E52" s="1">
        <v>2117</v>
      </c>
      <c r="F52" s="1">
        <v>2117</v>
      </c>
      <c r="G52" s="1">
        <v>2117</v>
      </c>
      <c r="H52" s="1">
        <v>2117</v>
      </c>
      <c r="I52" s="256">
        <f t="shared" si="0"/>
        <v>1</v>
      </c>
    </row>
    <row r="53" spans="1:9" ht="12.75">
      <c r="A53" s="1">
        <v>47</v>
      </c>
      <c r="C53" s="1" t="s">
        <v>102</v>
      </c>
      <c r="F53" s="1">
        <v>4</v>
      </c>
      <c r="G53" s="1">
        <v>6</v>
      </c>
      <c r="H53" s="1">
        <v>9</v>
      </c>
      <c r="I53" s="256">
        <f t="shared" si="0"/>
        <v>1.5</v>
      </c>
    </row>
    <row r="54" spans="1:9" ht="12.75">
      <c r="A54" s="1">
        <v>48</v>
      </c>
      <c r="C54" s="1" t="s">
        <v>321</v>
      </c>
      <c r="D54" s="1">
        <f>SUM(D52:D53)</f>
        <v>447</v>
      </c>
      <c r="E54" s="1">
        <f>SUM(E52:E53)</f>
        <v>2117</v>
      </c>
      <c r="F54" s="1">
        <f>SUM(F52:F53)</f>
        <v>2121</v>
      </c>
      <c r="G54" s="1">
        <f>SUM(G52:G53)</f>
        <v>2123</v>
      </c>
      <c r="H54" s="1">
        <f>SUM(H52:H53)</f>
        <v>2126</v>
      </c>
      <c r="I54" s="256">
        <f t="shared" si="0"/>
        <v>1.0014130946773434</v>
      </c>
    </row>
    <row r="55" spans="1:9" ht="12.75">
      <c r="A55" s="1">
        <v>49</v>
      </c>
      <c r="B55" s="7" t="s">
        <v>306</v>
      </c>
      <c r="C55" s="8"/>
      <c r="I55" s="256"/>
    </row>
    <row r="56" spans="1:9" ht="12.75">
      <c r="A56" s="1">
        <v>50</v>
      </c>
      <c r="I56" s="256"/>
    </row>
    <row r="57" spans="1:9" ht="12.75">
      <c r="A57" s="1">
        <v>51</v>
      </c>
      <c r="B57" s="3" t="s">
        <v>5</v>
      </c>
      <c r="C57" s="3"/>
      <c r="I57" s="256"/>
    </row>
    <row r="58" spans="1:9" ht="12.75">
      <c r="A58" s="1">
        <v>52</v>
      </c>
      <c r="I58" s="256"/>
    </row>
    <row r="59" spans="1:9" ht="12.75">
      <c r="A59" s="1">
        <v>53</v>
      </c>
      <c r="B59" s="1">
        <v>682001</v>
      </c>
      <c r="C59" s="1" t="s">
        <v>12</v>
      </c>
      <c r="D59" s="4">
        <f>'[5]680001_013350'!E32</f>
        <v>3200</v>
      </c>
      <c r="E59" s="1">
        <v>3200</v>
      </c>
      <c r="F59" s="1">
        <v>1718</v>
      </c>
      <c r="G59" s="1">
        <v>3200</v>
      </c>
      <c r="H59" s="1">
        <v>2499</v>
      </c>
      <c r="I59" s="256">
        <f>H59/G59</f>
        <v>0.7809375</v>
      </c>
    </row>
    <row r="60" spans="1:9" ht="12.75">
      <c r="A60" s="1">
        <v>54</v>
      </c>
      <c r="B60" s="1">
        <v>680002</v>
      </c>
      <c r="C60" s="1" t="s">
        <v>13</v>
      </c>
      <c r="D60" s="1">
        <f>'[5]680002_013350'!E8-1500</f>
        <v>6900</v>
      </c>
      <c r="E60" s="1">
        <v>6900</v>
      </c>
      <c r="F60" s="1">
        <v>4165</v>
      </c>
      <c r="G60" s="299">
        <v>6900</v>
      </c>
      <c r="H60" s="1">
        <v>7032</v>
      </c>
      <c r="I60" s="256">
        <f t="shared" si="0"/>
        <v>1.0191304347826087</v>
      </c>
    </row>
    <row r="61" spans="1:9" s="2" customFormat="1" ht="12.75">
      <c r="A61" s="1">
        <v>55</v>
      </c>
      <c r="B61" s="1">
        <v>682002</v>
      </c>
      <c r="C61" s="1" t="s">
        <v>15</v>
      </c>
      <c r="D61" s="1">
        <v>1500</v>
      </c>
      <c r="E61" s="1">
        <v>1500</v>
      </c>
      <c r="F61" s="1">
        <v>1500</v>
      </c>
      <c r="G61" s="298">
        <v>1500</v>
      </c>
      <c r="H61" s="1">
        <v>1500</v>
      </c>
      <c r="I61" s="256">
        <f t="shared" si="0"/>
        <v>1</v>
      </c>
    </row>
    <row r="62" spans="1:9" ht="12.75">
      <c r="A62" s="1">
        <v>56</v>
      </c>
      <c r="B62" s="1">
        <v>680002</v>
      </c>
      <c r="C62" s="1" t="s">
        <v>322</v>
      </c>
      <c r="D62" s="1">
        <f>'[5]680002_013350'!E13</f>
        <v>344</v>
      </c>
      <c r="E62" s="1">
        <v>344</v>
      </c>
      <c r="G62" s="1">
        <v>344</v>
      </c>
      <c r="I62" s="256">
        <f t="shared" si="0"/>
        <v>0</v>
      </c>
    </row>
    <row r="63" spans="1:9" ht="12.75">
      <c r="A63" s="1">
        <v>57</v>
      </c>
      <c r="B63" s="1">
        <v>841403</v>
      </c>
      <c r="C63" s="1" t="s">
        <v>645</v>
      </c>
      <c r="G63" s="1">
        <v>4903</v>
      </c>
      <c r="I63" s="256">
        <f t="shared" si="0"/>
        <v>0</v>
      </c>
    </row>
    <row r="64" spans="1:9" ht="12.75">
      <c r="A64" s="1">
        <v>58</v>
      </c>
      <c r="B64" s="1">
        <v>910502</v>
      </c>
      <c r="C64" s="1" t="s">
        <v>16</v>
      </c>
      <c r="D64" s="4">
        <f>'[5]910502_082092'!E30</f>
        <v>450</v>
      </c>
      <c r="E64" s="1">
        <v>450</v>
      </c>
      <c r="F64" s="1">
        <v>164</v>
      </c>
      <c r="G64" s="1">
        <v>450</v>
      </c>
      <c r="H64" s="1">
        <f>639-300</f>
        <v>339</v>
      </c>
      <c r="I64" s="256">
        <f t="shared" si="0"/>
        <v>0.7533333333333333</v>
      </c>
    </row>
    <row r="65" spans="1:9" ht="12.75">
      <c r="A65" s="1">
        <v>59</v>
      </c>
      <c r="C65" s="1" t="s">
        <v>646</v>
      </c>
      <c r="E65" s="2"/>
      <c r="I65" s="256"/>
    </row>
    <row r="66" spans="1:9" ht="12.75">
      <c r="A66" s="1">
        <v>60</v>
      </c>
      <c r="B66" s="1">
        <v>370000</v>
      </c>
      <c r="C66" s="1" t="s">
        <v>17</v>
      </c>
      <c r="D66" s="1">
        <f>'[5]37000_052020'!E31</f>
        <v>7209</v>
      </c>
      <c r="E66" s="1">
        <v>7209</v>
      </c>
      <c r="F66" s="1">
        <v>1786</v>
      </c>
      <c r="G66" s="1">
        <v>7209</v>
      </c>
      <c r="H66" s="1">
        <v>5359</v>
      </c>
      <c r="I66" s="256">
        <f t="shared" si="0"/>
        <v>0.7433763351366348</v>
      </c>
    </row>
    <row r="67" spans="1:9" ht="12.75">
      <c r="A67" s="1">
        <v>61</v>
      </c>
      <c r="B67" s="1">
        <v>841154</v>
      </c>
      <c r="C67" s="1" t="s">
        <v>815</v>
      </c>
      <c r="F67" s="1">
        <f>35+13+24</f>
        <v>72</v>
      </c>
      <c r="G67" s="299"/>
      <c r="H67" s="1">
        <f>46+38+8</f>
        <v>92</v>
      </c>
      <c r="I67" s="256"/>
    </row>
    <row r="68" spans="1:9" ht="12.75">
      <c r="A68" s="1">
        <v>62</v>
      </c>
      <c r="B68" s="1">
        <v>841154</v>
      </c>
      <c r="C68" s="1" t="s">
        <v>844</v>
      </c>
      <c r="F68" s="1">
        <v>18</v>
      </c>
      <c r="G68" s="299"/>
      <c r="H68" s="1">
        <f>40+50</f>
        <v>90</v>
      </c>
      <c r="I68" s="256"/>
    </row>
    <row r="69" spans="1:10" ht="12.75">
      <c r="A69" s="1">
        <v>63</v>
      </c>
      <c r="B69" s="1">
        <v>841154</v>
      </c>
      <c r="C69" s="1" t="s">
        <v>813</v>
      </c>
      <c r="F69" s="1">
        <v>65</v>
      </c>
      <c r="G69" s="299"/>
      <c r="H69" s="1">
        <v>87</v>
      </c>
      <c r="I69" s="256"/>
      <c r="J69" s="1">
        <f>F67+F68+F69+F73</f>
        <v>24251</v>
      </c>
    </row>
    <row r="70" spans="1:9" ht="12.75">
      <c r="A70" s="1">
        <v>64</v>
      </c>
      <c r="B70" s="1">
        <v>680002</v>
      </c>
      <c r="C70" s="1" t="s">
        <v>14</v>
      </c>
      <c r="D70" s="1">
        <f>'[5]680002_013350'!E11+'[5]680002_013350'!E19</f>
        <v>4318</v>
      </c>
      <c r="E70" s="1">
        <v>4318</v>
      </c>
      <c r="F70" s="1">
        <v>1941</v>
      </c>
      <c r="G70" s="299">
        <v>4318</v>
      </c>
      <c r="H70" s="1">
        <v>3500</v>
      </c>
      <c r="I70" s="256">
        <f t="shared" si="0"/>
        <v>0.8105604446503011</v>
      </c>
    </row>
    <row r="71" spans="1:9" ht="12.75">
      <c r="A71" s="1">
        <v>65</v>
      </c>
      <c r="B71" s="1">
        <v>841402</v>
      </c>
      <c r="C71" s="1" t="s">
        <v>814</v>
      </c>
      <c r="F71" s="1">
        <v>1414</v>
      </c>
      <c r="H71" s="1">
        <v>1414</v>
      </c>
      <c r="I71" s="256"/>
    </row>
    <row r="72" spans="1:9" ht="12.75">
      <c r="A72" s="1">
        <v>66</v>
      </c>
      <c r="B72" s="1">
        <v>940000</v>
      </c>
      <c r="C72" s="1" t="s">
        <v>18</v>
      </c>
      <c r="D72" s="4">
        <f>'[5]940000_013390'!E32</f>
        <v>800</v>
      </c>
      <c r="E72" s="1">
        <v>800</v>
      </c>
      <c r="F72" s="1">
        <v>1130</v>
      </c>
      <c r="G72" s="1">
        <v>1480</v>
      </c>
      <c r="H72" s="1">
        <f>1330+300</f>
        <v>1630</v>
      </c>
      <c r="I72" s="256">
        <f t="shared" si="0"/>
        <v>1.1013513513513513</v>
      </c>
    </row>
    <row r="73" spans="1:9" ht="12.75">
      <c r="A73" s="1">
        <v>67</v>
      </c>
      <c r="B73" s="1">
        <v>841154</v>
      </c>
      <c r="C73" s="1" t="s">
        <v>323</v>
      </c>
      <c r="D73" s="4">
        <f>'[5]841154_013350'!E33</f>
        <v>22934</v>
      </c>
      <c r="E73" s="1">
        <v>24096</v>
      </c>
      <c r="F73" s="1">
        <v>24096</v>
      </c>
      <c r="G73" s="1">
        <v>24096</v>
      </c>
      <c r="H73" s="1">
        <v>24096</v>
      </c>
      <c r="I73" s="256">
        <f t="shared" si="0"/>
        <v>1</v>
      </c>
    </row>
    <row r="74" spans="1:9" ht="12.75">
      <c r="A74" s="1">
        <v>68</v>
      </c>
      <c r="B74" s="1">
        <v>841403</v>
      </c>
      <c r="C74" s="1" t="s">
        <v>843</v>
      </c>
      <c r="G74" s="1">
        <v>560</v>
      </c>
      <c r="I74" s="256"/>
    </row>
    <row r="75" spans="1:9" ht="12.75">
      <c r="A75" s="1">
        <v>69</v>
      </c>
      <c r="B75" s="9"/>
      <c r="I75" s="256"/>
    </row>
    <row r="76" spans="1:9" ht="12.75">
      <c r="A76" s="1">
        <v>70</v>
      </c>
      <c r="B76" s="5"/>
      <c r="C76" s="5"/>
      <c r="I76" s="256"/>
    </row>
    <row r="77" spans="1:9" ht="12.75">
      <c r="A77" s="1">
        <v>71</v>
      </c>
      <c r="B77" s="5"/>
      <c r="C77" s="5"/>
      <c r="I77" s="256"/>
    </row>
    <row r="78" spans="1:9" ht="12.75">
      <c r="A78" s="1">
        <v>72</v>
      </c>
      <c r="C78" s="1" t="s">
        <v>19</v>
      </c>
      <c r="D78" s="10">
        <f>'[5]562912_096010'!E32</f>
        <v>1668</v>
      </c>
      <c r="E78" s="1">
        <v>1668</v>
      </c>
      <c r="F78" s="1">
        <v>749</v>
      </c>
      <c r="G78" s="1">
        <v>1668</v>
      </c>
      <c r="H78" s="1">
        <v>899</v>
      </c>
      <c r="I78" s="256">
        <f t="shared" si="0"/>
        <v>0.5389688249400479</v>
      </c>
    </row>
    <row r="79" spans="1:9" ht="12.75">
      <c r="A79" s="1">
        <v>73</v>
      </c>
      <c r="C79" s="1" t="s">
        <v>20</v>
      </c>
      <c r="D79" s="4">
        <f>'[5]562913_096020'!E32</f>
        <v>7558</v>
      </c>
      <c r="E79" s="1">
        <v>7558</v>
      </c>
      <c r="F79" s="1">
        <v>4233</v>
      </c>
      <c r="G79" s="1">
        <v>7558</v>
      </c>
      <c r="H79" s="1">
        <v>5092</v>
      </c>
      <c r="I79" s="256">
        <f t="shared" si="0"/>
        <v>0.6737232071976713</v>
      </c>
    </row>
    <row r="80" spans="1:9" ht="12.75">
      <c r="A80" s="1">
        <v>74</v>
      </c>
      <c r="C80" s="1" t="s">
        <v>21</v>
      </c>
      <c r="D80" s="10">
        <f>'[5]562917_999999'!E32</f>
        <v>4477</v>
      </c>
      <c r="E80" s="1">
        <v>4477</v>
      </c>
      <c r="F80" s="1">
        <v>1755</v>
      </c>
      <c r="G80" s="1">
        <v>4477</v>
      </c>
      <c r="H80" s="1">
        <v>2298</v>
      </c>
      <c r="I80" s="256">
        <f t="shared" si="0"/>
        <v>0.513290149653786</v>
      </c>
    </row>
    <row r="81" spans="1:10" ht="12.75">
      <c r="A81" s="1">
        <v>75</v>
      </c>
      <c r="C81" s="1" t="s">
        <v>22</v>
      </c>
      <c r="D81" s="10">
        <f>'[5]889921_107051'!J32</f>
        <v>2307</v>
      </c>
      <c r="E81" s="1">
        <v>2307</v>
      </c>
      <c r="F81" s="1">
        <v>1348</v>
      </c>
      <c r="G81" s="1">
        <f>2307+269</f>
        <v>2576</v>
      </c>
      <c r="H81" s="1">
        <v>1951</v>
      </c>
      <c r="I81" s="256">
        <f t="shared" si="0"/>
        <v>0.7573757763975155</v>
      </c>
      <c r="J81" s="1">
        <v>1347</v>
      </c>
    </row>
    <row r="82" spans="1:9" ht="12.75">
      <c r="A82" s="1">
        <v>76</v>
      </c>
      <c r="C82" s="1" t="s">
        <v>324</v>
      </c>
      <c r="D82" s="10">
        <f>'[5]562916_081071'!E32</f>
        <v>5243</v>
      </c>
      <c r="E82" s="1">
        <v>5243</v>
      </c>
      <c r="F82" s="1">
        <v>3456</v>
      </c>
      <c r="G82" s="1">
        <v>5243</v>
      </c>
      <c r="H82" s="1">
        <v>5143</v>
      </c>
      <c r="I82" s="256">
        <f t="shared" si="0"/>
        <v>0.9809269502193401</v>
      </c>
    </row>
    <row r="83" spans="1:9" ht="12.75">
      <c r="A83" s="1">
        <v>77</v>
      </c>
      <c r="C83" s="1" t="s">
        <v>177</v>
      </c>
      <c r="I83" s="256"/>
    </row>
    <row r="84" spans="1:9" ht="12.75">
      <c r="A84" s="1">
        <v>78</v>
      </c>
      <c r="C84" s="1" t="s">
        <v>23</v>
      </c>
      <c r="D84" s="4">
        <f>'[5]381103_051030'!E32</f>
        <v>4445</v>
      </c>
      <c r="E84" s="1">
        <v>4445</v>
      </c>
      <c r="F84" s="1">
        <v>3100</v>
      </c>
      <c r="G84" s="1">
        <v>4445</v>
      </c>
      <c r="H84" s="1">
        <v>5756</v>
      </c>
      <c r="I84" s="256">
        <f t="shared" si="0"/>
        <v>1.2949381327334084</v>
      </c>
    </row>
    <row r="85" spans="1:9" ht="12.75">
      <c r="A85" s="1">
        <v>79</v>
      </c>
      <c r="C85" s="1" t="s">
        <v>24</v>
      </c>
      <c r="D85" s="4">
        <f>'[5]960302_013320'!E32</f>
        <v>185</v>
      </c>
      <c r="E85" s="1">
        <v>185</v>
      </c>
      <c r="F85" s="1">
        <v>70</v>
      </c>
      <c r="G85" s="1">
        <v>185</v>
      </c>
      <c r="H85" s="1">
        <v>140</v>
      </c>
      <c r="I85" s="256">
        <f t="shared" si="0"/>
        <v>0.7567567567567568</v>
      </c>
    </row>
    <row r="86" spans="1:9" ht="12.75">
      <c r="A86" s="1">
        <v>80</v>
      </c>
      <c r="C86" s="1" t="s">
        <v>25</v>
      </c>
      <c r="D86" s="4">
        <f>'[5]890442_041231'!E32+'[5]890444_041231'!E32</f>
        <v>5775</v>
      </c>
      <c r="E86" s="1">
        <f>3537+2238</f>
        <v>5775</v>
      </c>
      <c r="F86" s="1">
        <f>3674</f>
        <v>3674</v>
      </c>
      <c r="G86" s="1">
        <v>11789</v>
      </c>
      <c r="H86" s="1">
        <v>5996</v>
      </c>
      <c r="I86" s="256">
        <f t="shared" si="0"/>
        <v>0.5086097209262872</v>
      </c>
    </row>
    <row r="87" spans="1:9" ht="12.75">
      <c r="A87" s="1">
        <v>81</v>
      </c>
      <c r="B87" s="5" t="s">
        <v>325</v>
      </c>
      <c r="D87" s="4">
        <f>SUM(D59:D86)</f>
        <v>79313</v>
      </c>
      <c r="E87" s="4">
        <f>SUM(E59:E86)</f>
        <v>80475</v>
      </c>
      <c r="F87" s="4">
        <f>SUM(F59:F86)</f>
        <v>56454</v>
      </c>
      <c r="G87" s="4">
        <f>SUM(G59:G86)</f>
        <v>92901</v>
      </c>
      <c r="H87" s="4">
        <f>SUM(H59:H86)</f>
        <v>74913</v>
      </c>
      <c r="I87" s="256">
        <f t="shared" si="0"/>
        <v>0.8063745277230601</v>
      </c>
    </row>
    <row r="88" spans="1:9" ht="12.75">
      <c r="A88" s="1">
        <v>82</v>
      </c>
      <c r="C88" s="5" t="s">
        <v>789</v>
      </c>
      <c r="G88" s="1">
        <v>92901</v>
      </c>
      <c r="H88" s="1">
        <v>74938</v>
      </c>
      <c r="I88" s="256"/>
    </row>
    <row r="89" spans="1:9" ht="12.75">
      <c r="A89" s="1">
        <v>83</v>
      </c>
      <c r="B89" s="9" t="s">
        <v>302</v>
      </c>
      <c r="C89" s="9"/>
      <c r="D89" s="228">
        <f>D87+D52+D48</f>
        <v>470322.345</v>
      </c>
      <c r="E89" s="228">
        <f>E87+E52+E48</f>
        <v>493336</v>
      </c>
      <c r="F89" s="228">
        <f>F87+F52+F48</f>
        <v>338262</v>
      </c>
      <c r="G89" s="228">
        <f>G87+G52+G48+G53</f>
        <v>526425</v>
      </c>
      <c r="H89" s="228">
        <f>H87+H52+H48+H53</f>
        <v>489080</v>
      </c>
      <c r="I89" s="256">
        <f t="shared" si="0"/>
        <v>0.9290592202118061</v>
      </c>
    </row>
    <row r="90" spans="1:9" ht="12.75">
      <c r="A90" s="1">
        <v>84</v>
      </c>
      <c r="I90" s="256"/>
    </row>
    <row r="91" spans="1:9" s="9" customFormat="1" ht="22.5" customHeight="1">
      <c r="A91" s="1">
        <v>85</v>
      </c>
      <c r="B91" s="9" t="s">
        <v>303</v>
      </c>
      <c r="D91" s="228">
        <f>D89+D18</f>
        <v>482225.345</v>
      </c>
      <c r="E91" s="228">
        <f>E89+E18</f>
        <v>503681</v>
      </c>
      <c r="F91" s="228">
        <f>F89+F18</f>
        <v>341539</v>
      </c>
      <c r="G91" s="228">
        <f>G89+G18</f>
        <v>541970</v>
      </c>
      <c r="H91" s="228">
        <f>H89+H18</f>
        <v>498564</v>
      </c>
      <c r="I91" s="256">
        <f aca="true" t="shared" si="1" ref="I91:I97">H91/G91</f>
        <v>0.9199106961639943</v>
      </c>
    </row>
    <row r="92" spans="1:9" ht="12.75">
      <c r="A92" s="1">
        <v>86</v>
      </c>
      <c r="I92" s="256"/>
    </row>
    <row r="93" spans="1:9" ht="12.75">
      <c r="A93" s="1">
        <v>87</v>
      </c>
      <c r="C93" s="1" t="s">
        <v>326</v>
      </c>
      <c r="D93" s="1">
        <v>46990</v>
      </c>
      <c r="E93" s="1">
        <v>45413</v>
      </c>
      <c r="F93" s="1">
        <v>27373</v>
      </c>
      <c r="G93" s="1">
        <v>47994</v>
      </c>
      <c r="H93" s="1">
        <v>36397</v>
      </c>
      <c r="I93" s="256">
        <f t="shared" si="1"/>
        <v>0.7583656290369629</v>
      </c>
    </row>
    <row r="94" spans="1:9" ht="12.75">
      <c r="A94" s="1">
        <v>88</v>
      </c>
      <c r="C94" s="1" t="s">
        <v>327</v>
      </c>
      <c r="D94" s="1">
        <v>184403</v>
      </c>
      <c r="E94" s="1">
        <f>199776+467</f>
        <v>200243</v>
      </c>
      <c r="F94" s="1">
        <v>96764</v>
      </c>
      <c r="G94" s="1">
        <v>200419</v>
      </c>
      <c r="H94" s="1">
        <v>120814</v>
      </c>
      <c r="I94" s="256">
        <f t="shared" si="1"/>
        <v>0.6028071190855159</v>
      </c>
    </row>
    <row r="95" spans="1:9" ht="12.75">
      <c r="A95" s="1">
        <v>89</v>
      </c>
      <c r="C95" s="1" t="s">
        <v>4</v>
      </c>
      <c r="D95" s="1">
        <f>SUM(D93:D94)</f>
        <v>231393</v>
      </c>
      <c r="E95" s="1">
        <f>SUM(E93:E94)</f>
        <v>245656</v>
      </c>
      <c r="F95" s="1">
        <f>SUM(F93:F94)</f>
        <v>124137</v>
      </c>
      <c r="G95" s="1">
        <f>G93+G94</f>
        <v>248413</v>
      </c>
      <c r="H95" s="1">
        <f>H93+H94</f>
        <v>157211</v>
      </c>
      <c r="I95" s="256">
        <f t="shared" si="1"/>
        <v>0.6328614041938224</v>
      </c>
    </row>
    <row r="96" ht="12.75">
      <c r="I96" s="256"/>
    </row>
    <row r="97" spans="3:9" ht="12.75">
      <c r="C97" s="1" t="s">
        <v>819</v>
      </c>
      <c r="E97" s="1">
        <v>245656</v>
      </c>
      <c r="F97" s="1">
        <v>124137</v>
      </c>
      <c r="G97" s="1">
        <v>248413</v>
      </c>
      <c r="H97" s="1">
        <v>157211</v>
      </c>
      <c r="I97" s="256">
        <f t="shared" si="1"/>
        <v>0.6328614041938224</v>
      </c>
    </row>
  </sheetData>
  <sheetProtection/>
  <mergeCells count="1">
    <mergeCell ref="B5:C5"/>
  </mergeCells>
  <printOptions/>
  <pageMargins left="0.7" right="0.7" top="0.75" bottom="0.75" header="0.3" footer="0.3"/>
  <pageSetup horizontalDpi="200" verticalDpi="200" orientation="portrait" paperSize="9" scale="77" r:id="rId1"/>
  <rowBreaks count="1" manualBreakCount="1">
    <brk id="5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10" sqref="H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F42"/>
  <sheetViews>
    <sheetView view="pageBreakPreview" zoomScale="60" zoomScalePageLayoutView="0" workbookViewId="0" topLeftCell="A1">
      <selection activeCell="A1" sqref="A1:B1"/>
    </sheetView>
  </sheetViews>
  <sheetFormatPr defaultColWidth="9.140625" defaultRowHeight="15"/>
  <cols>
    <col min="1" max="1" width="9.140625" style="109" customWidth="1"/>
    <col min="2" max="2" width="53.421875" style="0" customWidth="1"/>
    <col min="3" max="3" width="14.421875" style="11" customWidth="1"/>
    <col min="4" max="4" width="14.7109375" style="11" customWidth="1"/>
    <col min="5" max="5" width="13.57421875" style="11" customWidth="1"/>
    <col min="6" max="6" width="17.00390625" style="11" customWidth="1"/>
  </cols>
  <sheetData>
    <row r="1" spans="1:3" ht="15">
      <c r="A1" s="347" t="s">
        <v>850</v>
      </c>
      <c r="B1" s="347"/>
      <c r="C1" s="106"/>
    </row>
    <row r="3" ht="15">
      <c r="B3" t="s">
        <v>351</v>
      </c>
    </row>
    <row r="5" spans="1:6" s="109" customFormat="1" ht="15">
      <c r="A5" s="12"/>
      <c r="B5" s="12" t="s">
        <v>27</v>
      </c>
      <c r="C5" s="12" t="s">
        <v>28</v>
      </c>
      <c r="D5" s="12" t="s">
        <v>29</v>
      </c>
      <c r="E5" s="12" t="s">
        <v>30</v>
      </c>
      <c r="F5" s="12" t="s">
        <v>31</v>
      </c>
    </row>
    <row r="6" spans="1:6" ht="30">
      <c r="A6" s="12">
        <v>1</v>
      </c>
      <c r="B6" s="13" t="s">
        <v>32</v>
      </c>
      <c r="C6" s="14" t="s">
        <v>33</v>
      </c>
      <c r="D6" s="14" t="s">
        <v>34</v>
      </c>
      <c r="E6" s="14" t="s">
        <v>35</v>
      </c>
      <c r="F6" s="15" t="s">
        <v>36</v>
      </c>
    </row>
    <row r="7" spans="1:6" ht="15">
      <c r="A7" s="12">
        <v>2</v>
      </c>
      <c r="B7" s="13" t="s">
        <v>37</v>
      </c>
      <c r="C7" s="16"/>
      <c r="D7" s="16"/>
      <c r="E7" s="16"/>
      <c r="F7" s="15"/>
    </row>
    <row r="8" spans="1:6" ht="27.75" customHeight="1">
      <c r="A8" s="12">
        <v>3</v>
      </c>
      <c r="B8" s="13" t="s">
        <v>38</v>
      </c>
      <c r="C8" s="17">
        <f>'3.bev.részletes'!D67</f>
        <v>97009</v>
      </c>
      <c r="D8" s="16"/>
      <c r="E8" s="16"/>
      <c r="F8" s="15">
        <f>SUM(C8:E8)</f>
        <v>97009</v>
      </c>
    </row>
    <row r="9" spans="1:6" ht="15.75">
      <c r="A9" s="12">
        <v>4</v>
      </c>
      <c r="B9" s="18" t="s">
        <v>39</v>
      </c>
      <c r="C9" s="19">
        <f>'3.bev.részletes'!E67</f>
        <v>186031</v>
      </c>
      <c r="D9" s="15"/>
      <c r="E9" s="15"/>
      <c r="F9" s="15">
        <f aca="true" t="shared" si="0" ref="F9:F38">SUM(C9:E9)</f>
        <v>186031</v>
      </c>
    </row>
    <row r="10" spans="1:6" ht="15.75">
      <c r="A10" s="12">
        <v>5</v>
      </c>
      <c r="B10" s="18" t="s">
        <v>40</v>
      </c>
      <c r="C10" s="19">
        <f>'3.bev.részletes'!G67</f>
        <v>142157.88</v>
      </c>
      <c r="D10" s="15"/>
      <c r="E10" s="15"/>
      <c r="F10" s="20">
        <f t="shared" si="0"/>
        <v>142157.88</v>
      </c>
    </row>
    <row r="11" spans="1:6" ht="15.75">
      <c r="A11" s="12">
        <v>6</v>
      </c>
      <c r="B11" s="18" t="s">
        <v>298</v>
      </c>
      <c r="C11" s="19">
        <f>'3.bev.részletes'!F67</f>
        <v>5782</v>
      </c>
      <c r="D11" s="15"/>
      <c r="E11" s="15"/>
      <c r="F11" s="20">
        <f t="shared" si="0"/>
        <v>5782</v>
      </c>
    </row>
    <row r="12" spans="1:6" ht="15.75">
      <c r="A12" s="12">
        <v>7</v>
      </c>
      <c r="B12" s="18" t="s">
        <v>41</v>
      </c>
      <c r="C12" s="19">
        <v>0</v>
      </c>
      <c r="D12" s="15"/>
      <c r="E12" s="15"/>
      <c r="F12" s="20">
        <f t="shared" si="0"/>
        <v>0</v>
      </c>
    </row>
    <row r="13" spans="1:6" ht="15.75">
      <c r="A13" s="12">
        <v>8</v>
      </c>
      <c r="B13" s="18" t="s">
        <v>42</v>
      </c>
      <c r="C13" s="19">
        <f>'3.bev.részletes'!I67+'3.bev.részletes'!J67</f>
        <v>14116</v>
      </c>
      <c r="D13" s="15"/>
      <c r="E13" s="15"/>
      <c r="F13" s="20">
        <f t="shared" si="0"/>
        <v>14116</v>
      </c>
    </row>
    <row r="14" spans="1:6" ht="15.75">
      <c r="A14" s="12">
        <v>9</v>
      </c>
      <c r="B14" s="18" t="s">
        <v>344</v>
      </c>
      <c r="C14" s="19">
        <f>'3.bev.részletes'!H67</f>
        <v>450</v>
      </c>
      <c r="D14" s="15"/>
      <c r="E14" s="15"/>
      <c r="F14" s="20">
        <f t="shared" si="0"/>
        <v>450</v>
      </c>
    </row>
    <row r="15" spans="1:6" ht="15.75">
      <c r="A15" s="12"/>
      <c r="B15" s="18" t="s">
        <v>45</v>
      </c>
      <c r="C15" s="19">
        <v>1400</v>
      </c>
      <c r="D15" s="15"/>
      <c r="E15" s="15"/>
      <c r="F15" s="20">
        <f t="shared" si="0"/>
        <v>1400</v>
      </c>
    </row>
    <row r="16" spans="1:6" ht="15.75">
      <c r="A16" s="12">
        <v>10</v>
      </c>
      <c r="B16" s="18" t="s">
        <v>43</v>
      </c>
      <c r="C16" s="19">
        <f>SUM(C8:C15)</f>
        <v>446945.88</v>
      </c>
      <c r="D16" s="19">
        <f>SUM(D8:D14)</f>
        <v>0</v>
      </c>
      <c r="E16" s="19">
        <f>SUM(E8:E14)</f>
        <v>0</v>
      </c>
      <c r="F16" s="20">
        <f t="shared" si="0"/>
        <v>446945.88</v>
      </c>
    </row>
    <row r="17" spans="1:6" ht="15.75">
      <c r="A17" s="12">
        <v>11</v>
      </c>
      <c r="B17" s="18"/>
      <c r="C17" s="19"/>
      <c r="D17" s="19"/>
      <c r="E17" s="19"/>
      <c r="F17" s="19"/>
    </row>
    <row r="18" spans="1:6" ht="15.75">
      <c r="A18" s="12">
        <v>12</v>
      </c>
      <c r="B18" s="18" t="s">
        <v>304</v>
      </c>
      <c r="C18" s="19">
        <f>'3.bev.részletes'!M66</f>
        <v>2117</v>
      </c>
      <c r="D18" s="19"/>
      <c r="E18" s="19"/>
      <c r="F18" s="15">
        <f t="shared" si="0"/>
        <v>2117</v>
      </c>
    </row>
    <row r="19" spans="1:6" ht="15.75">
      <c r="A19" s="12">
        <v>13</v>
      </c>
      <c r="B19" s="18"/>
      <c r="C19" s="19"/>
      <c r="D19" s="15"/>
      <c r="E19" s="15"/>
      <c r="F19" s="15">
        <f t="shared" si="0"/>
        <v>0</v>
      </c>
    </row>
    <row r="20" spans="1:6" ht="18.75">
      <c r="A20" s="12">
        <v>14</v>
      </c>
      <c r="B20" s="98" t="s">
        <v>44</v>
      </c>
      <c r="C20" s="110"/>
      <c r="D20" s="110"/>
      <c r="E20" s="110"/>
      <c r="F20" s="111">
        <f t="shared" si="0"/>
        <v>0</v>
      </c>
    </row>
    <row r="21" spans="1:6" ht="20.25" customHeight="1">
      <c r="A21" s="12">
        <v>15</v>
      </c>
      <c r="B21" s="100" t="s">
        <v>45</v>
      </c>
      <c r="C21" s="110">
        <f>'[5]37000_052020'!$E$31</f>
        <v>7209</v>
      </c>
      <c r="D21" s="110"/>
      <c r="E21" s="110"/>
      <c r="F21" s="111">
        <f t="shared" si="0"/>
        <v>7209</v>
      </c>
    </row>
    <row r="22" spans="1:6" ht="20.25" customHeight="1">
      <c r="A22" s="12">
        <v>16</v>
      </c>
      <c r="B22" s="100" t="s">
        <v>46</v>
      </c>
      <c r="C22" s="110">
        <f>'3.bev.részletes'!O67</f>
        <v>4445</v>
      </c>
      <c r="D22" s="110"/>
      <c r="E22" s="110"/>
      <c r="F22" s="111">
        <f t="shared" si="0"/>
        <v>4445</v>
      </c>
    </row>
    <row r="23" spans="1:6" ht="15">
      <c r="A23" s="12">
        <v>17</v>
      </c>
      <c r="B23" s="111" t="s">
        <v>47</v>
      </c>
      <c r="C23" s="111">
        <f>'3.bev.részletes'!P67</f>
        <v>1668</v>
      </c>
      <c r="D23" s="111"/>
      <c r="E23" s="111"/>
      <c r="F23" s="111">
        <f t="shared" si="0"/>
        <v>1668</v>
      </c>
    </row>
    <row r="24" spans="1:6" ht="15">
      <c r="A24" s="12">
        <v>18</v>
      </c>
      <c r="B24" s="111" t="s">
        <v>48</v>
      </c>
      <c r="C24" s="111">
        <f>'3.bev.részletes'!Q67</f>
        <v>7558</v>
      </c>
      <c r="D24" s="111"/>
      <c r="E24" s="111"/>
      <c r="F24" s="111">
        <f t="shared" si="0"/>
        <v>7558</v>
      </c>
    </row>
    <row r="25" spans="1:6" ht="15">
      <c r="A25" s="12">
        <v>19</v>
      </c>
      <c r="B25" s="111" t="s">
        <v>49</v>
      </c>
      <c r="C25" s="111"/>
      <c r="D25" s="111">
        <f>'3.bev.részletes'!S67</f>
        <v>5243</v>
      </c>
      <c r="E25" s="111"/>
      <c r="F25" s="111">
        <f t="shared" si="0"/>
        <v>5243</v>
      </c>
    </row>
    <row r="26" spans="1:6" ht="15">
      <c r="A26" s="12">
        <v>20</v>
      </c>
      <c r="B26" s="111" t="s">
        <v>50</v>
      </c>
      <c r="C26" s="111"/>
      <c r="D26" s="111">
        <f>'3.bev.részletes'!R67</f>
        <v>4477</v>
      </c>
      <c r="E26" s="111"/>
      <c r="F26" s="111">
        <f t="shared" si="0"/>
        <v>4477</v>
      </c>
    </row>
    <row r="27" spans="1:6" ht="15.75">
      <c r="A27" s="12">
        <v>21</v>
      </c>
      <c r="B27" s="100" t="s">
        <v>51</v>
      </c>
      <c r="C27" s="111">
        <f>'3.bev.részletes'!T67</f>
        <v>3200</v>
      </c>
      <c r="D27" s="111"/>
      <c r="E27" s="111"/>
      <c r="F27" s="111">
        <f t="shared" si="0"/>
        <v>3200</v>
      </c>
    </row>
    <row r="28" spans="1:6" ht="15.75">
      <c r="A28" s="12">
        <v>22</v>
      </c>
      <c r="B28" s="100" t="s">
        <v>52</v>
      </c>
      <c r="C28" s="111">
        <f>'3.bev.részletes'!U34+'3.bev.részletes'!U39</f>
        <v>8744</v>
      </c>
      <c r="D28" s="111">
        <f>'3.bev.részletes'!U37+'3.bev.részletes'!U45</f>
        <v>4318</v>
      </c>
      <c r="E28" s="111"/>
      <c r="F28" s="111">
        <f t="shared" si="0"/>
        <v>13062</v>
      </c>
    </row>
    <row r="29" spans="1:6" ht="15.75">
      <c r="A29" s="12">
        <v>23</v>
      </c>
      <c r="B29" s="100" t="s">
        <v>54</v>
      </c>
      <c r="C29" s="111">
        <f>'3.bev.részletes'!V67</f>
        <v>24096</v>
      </c>
      <c r="D29" s="111"/>
      <c r="E29" s="111"/>
      <c r="F29" s="111">
        <f t="shared" si="0"/>
        <v>24096</v>
      </c>
    </row>
    <row r="30" spans="1:6" ht="15">
      <c r="A30" s="12">
        <v>24</v>
      </c>
      <c r="B30" s="111" t="s">
        <v>55</v>
      </c>
      <c r="C30" s="111">
        <f>'3.bev.részletes'!W67</f>
        <v>2576</v>
      </c>
      <c r="D30" s="111"/>
      <c r="E30" s="111"/>
      <c r="F30" s="111">
        <f t="shared" si="0"/>
        <v>2576</v>
      </c>
    </row>
    <row r="31" spans="1:6" ht="15">
      <c r="A31" s="12">
        <v>25</v>
      </c>
      <c r="B31" s="111" t="s">
        <v>56</v>
      </c>
      <c r="C31" s="111">
        <f>'3.bev.részletes'!X67+'3.bev.részletes'!Y67</f>
        <v>11789</v>
      </c>
      <c r="D31" s="111"/>
      <c r="E31" s="111"/>
      <c r="F31" s="111">
        <f t="shared" si="0"/>
        <v>11789</v>
      </c>
    </row>
    <row r="32" spans="1:6" ht="15">
      <c r="A32" s="12">
        <v>26</v>
      </c>
      <c r="B32" s="111" t="s">
        <v>57</v>
      </c>
      <c r="C32" s="111">
        <f>'3.bev.részletes'!Z67</f>
        <v>450</v>
      </c>
      <c r="D32" s="111"/>
      <c r="E32" s="111"/>
      <c r="F32" s="111">
        <f t="shared" si="0"/>
        <v>450</v>
      </c>
    </row>
    <row r="33" spans="1:6" ht="15">
      <c r="A33" s="12">
        <v>27</v>
      </c>
      <c r="B33" s="111" t="s">
        <v>328</v>
      </c>
      <c r="C33" s="111"/>
      <c r="D33" s="111">
        <f>'3.bev.részletes'!AA67</f>
        <v>1480</v>
      </c>
      <c r="E33" s="111"/>
      <c r="F33" s="111">
        <f t="shared" si="0"/>
        <v>1480</v>
      </c>
    </row>
    <row r="34" spans="1:6" ht="15.75">
      <c r="A34" s="12">
        <v>28</v>
      </c>
      <c r="B34" s="101" t="s">
        <v>58</v>
      </c>
      <c r="C34" s="111">
        <f>'3.bev.részletes'!AB67</f>
        <v>185</v>
      </c>
      <c r="D34" s="111"/>
      <c r="E34" s="111"/>
      <c r="F34" s="111">
        <f t="shared" si="0"/>
        <v>185</v>
      </c>
    </row>
    <row r="35" spans="1:6" ht="15.75">
      <c r="A35" s="12">
        <v>29</v>
      </c>
      <c r="B35" s="101" t="s">
        <v>846</v>
      </c>
      <c r="C35" s="111"/>
      <c r="D35" s="111">
        <v>5463</v>
      </c>
      <c r="E35" s="111"/>
      <c r="F35" s="111">
        <f t="shared" si="0"/>
        <v>5463</v>
      </c>
    </row>
    <row r="36" spans="1:6" ht="18.75">
      <c r="A36" s="12">
        <v>30</v>
      </c>
      <c r="B36" s="102" t="s">
        <v>59</v>
      </c>
      <c r="C36" s="98">
        <f>SUM(C21:C34)</f>
        <v>71920</v>
      </c>
      <c r="D36" s="98">
        <f>SUM(D21:D35)</f>
        <v>20981</v>
      </c>
      <c r="E36" s="98">
        <f>SUM(E21:E34)</f>
        <v>0</v>
      </c>
      <c r="F36" s="98">
        <f>SUM(F21:F35)</f>
        <v>92901</v>
      </c>
    </row>
    <row r="37" spans="1:6" ht="15">
      <c r="A37" s="12">
        <v>31</v>
      </c>
      <c r="B37" s="111"/>
      <c r="C37" s="111"/>
      <c r="D37" s="111"/>
      <c r="E37" s="111"/>
      <c r="F37" s="111">
        <f t="shared" si="0"/>
        <v>0</v>
      </c>
    </row>
    <row r="38" spans="1:6" ht="15">
      <c r="A38" s="12">
        <v>32</v>
      </c>
      <c r="B38" s="111"/>
      <c r="C38" s="111"/>
      <c r="D38" s="111"/>
      <c r="E38" s="111"/>
      <c r="F38" s="111">
        <f t="shared" si="0"/>
        <v>0</v>
      </c>
    </row>
    <row r="39" spans="1:6" ht="18.75">
      <c r="A39" s="12">
        <v>33</v>
      </c>
      <c r="B39" s="111" t="s">
        <v>26</v>
      </c>
      <c r="C39" s="98">
        <f>C36+C16+C18</f>
        <v>520982.88</v>
      </c>
      <c r="D39" s="98">
        <f>D36+D16+D18</f>
        <v>20981</v>
      </c>
      <c r="E39" s="98">
        <f>E36+E16+E18</f>
        <v>0</v>
      </c>
      <c r="F39" s="98">
        <f>F36+F16+F18</f>
        <v>541963.88</v>
      </c>
    </row>
    <row r="41" ht="15">
      <c r="C41" s="23"/>
    </row>
    <row r="42" ht="15">
      <c r="C42" s="23"/>
    </row>
  </sheetData>
  <sheetProtection/>
  <mergeCells count="1">
    <mergeCell ref="A1:B1"/>
  </mergeCells>
  <printOptions/>
  <pageMargins left="0.7" right="0.7" top="0.75" bottom="0.75" header="0.3" footer="0.3"/>
  <pageSetup horizontalDpi="200" verticalDpi="2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F192"/>
  <sheetViews>
    <sheetView view="pageBreakPreview" zoomScale="70" zoomScaleSheetLayoutView="70" zoomScalePageLayoutView="0" workbookViewId="0" topLeftCell="A1">
      <pane xSplit="3" ySplit="6" topLeftCell="D6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6" sqref="B6:C6"/>
    </sheetView>
  </sheetViews>
  <sheetFormatPr defaultColWidth="9.140625" defaultRowHeight="15" customHeight="1"/>
  <cols>
    <col min="1" max="2" width="9.140625" style="28" customWidth="1"/>
    <col min="3" max="3" width="58.7109375" style="24" customWidth="1"/>
    <col min="4" max="4" width="10.7109375" style="25" customWidth="1"/>
    <col min="5" max="11" width="8.7109375" style="25" customWidth="1"/>
    <col min="12" max="12" width="8.7109375" style="306" customWidth="1"/>
    <col min="13" max="13" width="8.7109375" style="31" customWidth="1"/>
    <col min="14" max="20" width="8.28125" style="25" customWidth="1"/>
    <col min="21" max="21" width="8.7109375" style="25" bestFit="1" customWidth="1"/>
    <col min="22" max="25" width="8.8515625" style="25" customWidth="1"/>
    <col min="26" max="29" width="8.7109375" style="25" customWidth="1"/>
    <col min="30" max="30" width="9.140625" style="306" customWidth="1"/>
    <col min="31" max="31" width="14.8515625" style="25" bestFit="1" customWidth="1"/>
    <col min="32" max="32" width="10.00390625" style="24" customWidth="1"/>
    <col min="33" max="33" width="8.140625" style="24" bestFit="1" customWidth="1"/>
    <col min="34" max="16384" width="9.140625" style="24" customWidth="1"/>
  </cols>
  <sheetData>
    <row r="1" spans="1:19" ht="18.75">
      <c r="A1" s="348" t="s">
        <v>852</v>
      </c>
      <c r="B1" s="349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103"/>
      <c r="N1" s="130"/>
      <c r="O1" s="130"/>
      <c r="P1" s="130"/>
      <c r="Q1" s="130"/>
      <c r="R1" s="130"/>
      <c r="S1" s="130"/>
    </row>
    <row r="2" spans="1:3" ht="15">
      <c r="A2" s="351" t="s">
        <v>352</v>
      </c>
      <c r="B2" s="352"/>
      <c r="C2" s="353"/>
    </row>
    <row r="3" spans="1:3" ht="15">
      <c r="A3" s="27"/>
      <c r="B3" s="235"/>
      <c r="C3" s="107"/>
    </row>
    <row r="4" spans="3:31" s="28" customFormat="1" ht="12.75">
      <c r="C4" s="28" t="s">
        <v>27</v>
      </c>
      <c r="D4" s="131" t="s">
        <v>28</v>
      </c>
      <c r="E4" s="131" t="s">
        <v>29</v>
      </c>
      <c r="F4" s="132" t="s">
        <v>30</v>
      </c>
      <c r="G4" s="131" t="s">
        <v>31</v>
      </c>
      <c r="H4" s="131" t="s">
        <v>105</v>
      </c>
      <c r="I4" s="132" t="s">
        <v>60</v>
      </c>
      <c r="J4" s="131" t="s">
        <v>61</v>
      </c>
      <c r="K4" s="131" t="s">
        <v>62</v>
      </c>
      <c r="L4" s="307" t="s">
        <v>63</v>
      </c>
      <c r="M4" s="131" t="s">
        <v>64</v>
      </c>
      <c r="N4" s="132" t="s">
        <v>65</v>
      </c>
      <c r="O4" s="132" t="s">
        <v>66</v>
      </c>
      <c r="P4" s="132" t="s">
        <v>67</v>
      </c>
      <c r="Q4" s="132" t="s">
        <v>146</v>
      </c>
      <c r="R4" s="132" t="s">
        <v>68</v>
      </c>
      <c r="S4" s="131" t="s">
        <v>147</v>
      </c>
      <c r="T4" s="132" t="s">
        <v>69</v>
      </c>
      <c r="U4" s="132" t="s">
        <v>70</v>
      </c>
      <c r="V4" s="132" t="s">
        <v>71</v>
      </c>
      <c r="W4" s="132" t="s">
        <v>72</v>
      </c>
      <c r="X4" s="132" t="s">
        <v>73</v>
      </c>
      <c r="Y4" s="132" t="s">
        <v>74</v>
      </c>
      <c r="Z4" s="132" t="s">
        <v>75</v>
      </c>
      <c r="AA4" s="132" t="s">
        <v>76</v>
      </c>
      <c r="AB4" s="132" t="s">
        <v>77</v>
      </c>
      <c r="AC4" s="132" t="s">
        <v>307</v>
      </c>
      <c r="AD4" s="307" t="s">
        <v>188</v>
      </c>
      <c r="AE4" s="132" t="s">
        <v>189</v>
      </c>
    </row>
    <row r="5" spans="1:31" s="28" customFormat="1" ht="12.75">
      <c r="A5" s="28">
        <v>1</v>
      </c>
      <c r="D5" s="354" t="s">
        <v>37</v>
      </c>
      <c r="E5" s="355"/>
      <c r="F5" s="355"/>
      <c r="G5" s="355"/>
      <c r="H5" s="355"/>
      <c r="I5" s="355"/>
      <c r="J5" s="355"/>
      <c r="K5" s="355"/>
      <c r="L5" s="356"/>
      <c r="M5" s="133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8"/>
      <c r="AE5" s="132"/>
    </row>
    <row r="6" spans="1:31" s="26" customFormat="1" ht="64.5" customHeight="1">
      <c r="A6" s="29">
        <v>2</v>
      </c>
      <c r="B6" s="359" t="s">
        <v>78</v>
      </c>
      <c r="C6" s="360"/>
      <c r="D6" s="30" t="s">
        <v>79</v>
      </c>
      <c r="E6" s="30" t="s">
        <v>80</v>
      </c>
      <c r="F6" s="30" t="s">
        <v>53</v>
      </c>
      <c r="G6" s="30" t="s">
        <v>81</v>
      </c>
      <c r="H6" s="30" t="s">
        <v>82</v>
      </c>
      <c r="I6" s="30" t="s">
        <v>765</v>
      </c>
      <c r="J6" s="30" t="s">
        <v>83</v>
      </c>
      <c r="K6" s="30" t="s">
        <v>831</v>
      </c>
      <c r="L6" s="308" t="s">
        <v>84</v>
      </c>
      <c r="M6" s="30" t="s">
        <v>305</v>
      </c>
      <c r="N6" s="30" t="s">
        <v>85</v>
      </c>
      <c r="O6" s="30" t="s">
        <v>86</v>
      </c>
      <c r="P6" s="30" t="s">
        <v>87</v>
      </c>
      <c r="Q6" s="30" t="s">
        <v>88</v>
      </c>
      <c r="R6" s="30" t="s">
        <v>89</v>
      </c>
      <c r="S6" s="30" t="s">
        <v>90</v>
      </c>
      <c r="T6" s="30" t="s">
        <v>91</v>
      </c>
      <c r="U6" s="30" t="s">
        <v>92</v>
      </c>
      <c r="V6" s="30" t="s">
        <v>93</v>
      </c>
      <c r="W6" s="30" t="s">
        <v>55</v>
      </c>
      <c r="X6" s="30" t="s">
        <v>94</v>
      </c>
      <c r="Y6" s="30" t="s">
        <v>95</v>
      </c>
      <c r="Z6" s="30" t="s">
        <v>96</v>
      </c>
      <c r="AA6" s="30" t="s">
        <v>97</v>
      </c>
      <c r="AB6" s="30" t="s">
        <v>98</v>
      </c>
      <c r="AC6" s="30" t="s">
        <v>845</v>
      </c>
      <c r="AD6" s="309" t="s">
        <v>99</v>
      </c>
      <c r="AE6" s="30" t="s">
        <v>100</v>
      </c>
    </row>
    <row r="7" spans="1:31" ht="30" customHeight="1">
      <c r="A7" s="28">
        <v>3</v>
      </c>
      <c r="B7" s="236" t="s">
        <v>664</v>
      </c>
      <c r="C7" s="180" t="s">
        <v>665</v>
      </c>
      <c r="G7" s="25">
        <v>57509</v>
      </c>
      <c r="L7" s="306">
        <f aca="true" t="shared" si="0" ref="L7:L38">SUM(D7:J7)</f>
        <v>57509</v>
      </c>
      <c r="AD7" s="306">
        <f>SUM(N7:AB7)</f>
        <v>0</v>
      </c>
      <c r="AE7" s="25">
        <f>AD7+M7+L7</f>
        <v>57509</v>
      </c>
    </row>
    <row r="8" spans="1:31" ht="30.75" customHeight="1">
      <c r="A8" s="28">
        <v>4</v>
      </c>
      <c r="B8" s="236" t="s">
        <v>666</v>
      </c>
      <c r="C8" s="180" t="s">
        <v>667</v>
      </c>
      <c r="G8" s="25">
        <f>'[4]841901_018010'!$E$5</f>
        <v>36335.2</v>
      </c>
      <c r="L8" s="306">
        <f t="shared" si="0"/>
        <v>36335.2</v>
      </c>
      <c r="AD8" s="306">
        <f aca="true" t="shared" si="1" ref="AD8:AD66">SUM(N8:AB8)</f>
        <v>0</v>
      </c>
      <c r="AE8" s="25">
        <f aca="true" t="shared" si="2" ref="AE8:AE67">AD8+M8+L8</f>
        <v>36335.2</v>
      </c>
    </row>
    <row r="9" spans="1:31" ht="29.25" customHeight="1">
      <c r="A9" s="28">
        <v>5</v>
      </c>
      <c r="B9" s="236" t="s">
        <v>668</v>
      </c>
      <c r="C9" s="180" t="s">
        <v>669</v>
      </c>
      <c r="G9" s="25">
        <v>28462</v>
      </c>
      <c r="L9" s="306">
        <f t="shared" si="0"/>
        <v>28462</v>
      </c>
      <c r="AD9" s="306">
        <f t="shared" si="1"/>
        <v>0</v>
      </c>
      <c r="AE9" s="25">
        <f t="shared" si="2"/>
        <v>28462</v>
      </c>
    </row>
    <row r="10" spans="1:31" s="26" customFormat="1" ht="21" customHeight="1">
      <c r="A10" s="29">
        <v>6</v>
      </c>
      <c r="B10" s="236" t="s">
        <v>670</v>
      </c>
      <c r="C10" s="180" t="s">
        <v>671</v>
      </c>
      <c r="D10" s="31"/>
      <c r="E10" s="31"/>
      <c r="F10" s="31"/>
      <c r="G10" s="25">
        <f>'[4]841901_018010'!$E$7</f>
        <v>1594.68</v>
      </c>
      <c r="H10" s="31"/>
      <c r="I10" s="31"/>
      <c r="J10" s="31"/>
      <c r="K10" s="31"/>
      <c r="L10" s="306">
        <f t="shared" si="0"/>
        <v>1594.68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06">
        <f t="shared" si="1"/>
        <v>0</v>
      </c>
      <c r="AE10" s="25">
        <f t="shared" si="2"/>
        <v>1594.68</v>
      </c>
    </row>
    <row r="11" spans="1:31" ht="30" customHeight="1">
      <c r="A11" s="28">
        <v>7</v>
      </c>
      <c r="B11" s="236" t="s">
        <v>672</v>
      </c>
      <c r="C11" s="180" t="s">
        <v>673</v>
      </c>
      <c r="G11" s="25">
        <v>11354</v>
      </c>
      <c r="L11" s="306">
        <f t="shared" si="0"/>
        <v>11354</v>
      </c>
      <c r="AD11" s="306">
        <f t="shared" si="1"/>
        <v>0</v>
      </c>
      <c r="AE11" s="25">
        <f t="shared" si="2"/>
        <v>11354</v>
      </c>
    </row>
    <row r="12" spans="1:31" ht="18.75" customHeight="1">
      <c r="A12" s="28">
        <v>8</v>
      </c>
      <c r="B12" s="236" t="s">
        <v>674</v>
      </c>
      <c r="C12" s="180" t="s">
        <v>675</v>
      </c>
      <c r="G12" s="25">
        <v>33</v>
      </c>
      <c r="L12" s="306">
        <f t="shared" si="0"/>
        <v>33</v>
      </c>
      <c r="AD12" s="306">
        <f t="shared" si="1"/>
        <v>0</v>
      </c>
      <c r="AE12" s="25">
        <f t="shared" si="2"/>
        <v>33</v>
      </c>
    </row>
    <row r="13" spans="1:31" s="26" customFormat="1" ht="12.75">
      <c r="A13" s="28">
        <v>9</v>
      </c>
      <c r="B13" s="237" t="s">
        <v>676</v>
      </c>
      <c r="C13" s="179" t="s">
        <v>677</v>
      </c>
      <c r="D13" s="31">
        <f>SUM(D7:D12)</f>
        <v>0</v>
      </c>
      <c r="E13" s="31">
        <f aca="true" t="shared" si="3" ref="E13:J13">SUM(E7:E12)</f>
        <v>0</v>
      </c>
      <c r="F13" s="31">
        <f t="shared" si="3"/>
        <v>0</v>
      </c>
      <c r="G13" s="31">
        <f t="shared" si="3"/>
        <v>135287.88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/>
      <c r="L13" s="306">
        <f t="shared" si="0"/>
        <v>135287.88</v>
      </c>
      <c r="M13" s="31">
        <f>SUM(M7:M12)</f>
        <v>0</v>
      </c>
      <c r="N13" s="31">
        <f aca="true" t="shared" si="4" ref="N13:AB13">SUM(N7:N12)</f>
        <v>0</v>
      </c>
      <c r="O13" s="31">
        <f t="shared" si="4"/>
        <v>0</v>
      </c>
      <c r="P13" s="31">
        <f t="shared" si="4"/>
        <v>0</v>
      </c>
      <c r="Q13" s="31">
        <f t="shared" si="4"/>
        <v>0</v>
      </c>
      <c r="R13" s="31">
        <f t="shared" si="4"/>
        <v>0</v>
      </c>
      <c r="S13" s="31">
        <f t="shared" si="4"/>
        <v>0</v>
      </c>
      <c r="T13" s="31">
        <f t="shared" si="4"/>
        <v>0</v>
      </c>
      <c r="U13" s="31">
        <f t="shared" si="4"/>
        <v>0</v>
      </c>
      <c r="V13" s="31">
        <f t="shared" si="4"/>
        <v>0</v>
      </c>
      <c r="W13" s="31">
        <f t="shared" si="4"/>
        <v>0</v>
      </c>
      <c r="X13" s="31">
        <f t="shared" si="4"/>
        <v>0</v>
      </c>
      <c r="Y13" s="31">
        <f t="shared" si="4"/>
        <v>0</v>
      </c>
      <c r="Z13" s="31">
        <f t="shared" si="4"/>
        <v>0</v>
      </c>
      <c r="AA13" s="31">
        <f t="shared" si="4"/>
        <v>0</v>
      </c>
      <c r="AB13" s="31">
        <f t="shared" si="4"/>
        <v>0</v>
      </c>
      <c r="AC13" s="31"/>
      <c r="AD13" s="306">
        <f t="shared" si="1"/>
        <v>0</v>
      </c>
      <c r="AE13" s="25">
        <f t="shared" si="2"/>
        <v>135287.88</v>
      </c>
    </row>
    <row r="14" spans="1:31" ht="12.75">
      <c r="A14" s="29">
        <v>10</v>
      </c>
      <c r="B14" s="236" t="s">
        <v>678</v>
      </c>
      <c r="C14" s="180" t="s">
        <v>679</v>
      </c>
      <c r="L14" s="306">
        <f t="shared" si="0"/>
        <v>0</v>
      </c>
      <c r="AD14" s="306">
        <f t="shared" si="1"/>
        <v>0</v>
      </c>
      <c r="AE14" s="25">
        <f t="shared" si="2"/>
        <v>0</v>
      </c>
    </row>
    <row r="15" spans="1:31" ht="12.75">
      <c r="A15" s="28">
        <v>11</v>
      </c>
      <c r="B15" s="236" t="s">
        <v>680</v>
      </c>
      <c r="C15" s="180" t="s">
        <v>681</v>
      </c>
      <c r="L15" s="306">
        <f t="shared" si="0"/>
        <v>0</v>
      </c>
      <c r="X15" s="25">
        <v>9551</v>
      </c>
      <c r="Y15" s="25">
        <f>'[5]890444_041231'!$E$5</f>
        <v>2238</v>
      </c>
      <c r="AD15" s="306">
        <f t="shared" si="1"/>
        <v>11789</v>
      </c>
      <c r="AE15" s="25">
        <f t="shared" si="2"/>
        <v>11789</v>
      </c>
    </row>
    <row r="16" spans="1:31" ht="12.75">
      <c r="A16" s="28">
        <v>12</v>
      </c>
      <c r="B16" s="236" t="s">
        <v>682</v>
      </c>
      <c r="C16" s="180" t="s">
        <v>683</v>
      </c>
      <c r="I16" s="25">
        <v>11124</v>
      </c>
      <c r="J16" s="25">
        <v>2992</v>
      </c>
      <c r="L16" s="306">
        <f t="shared" si="0"/>
        <v>14116</v>
      </c>
      <c r="AD16" s="306">
        <f t="shared" si="1"/>
        <v>0</v>
      </c>
      <c r="AE16" s="25">
        <f t="shared" si="2"/>
        <v>14116</v>
      </c>
    </row>
    <row r="17" spans="1:31" s="26" customFormat="1" ht="12.75">
      <c r="A17" s="28">
        <v>13</v>
      </c>
      <c r="B17" s="236" t="s">
        <v>684</v>
      </c>
      <c r="C17" s="180" t="s">
        <v>685</v>
      </c>
      <c r="D17" s="31">
        <v>2602</v>
      </c>
      <c r="E17" s="31"/>
      <c r="F17" s="31"/>
      <c r="G17" s="31"/>
      <c r="H17" s="31"/>
      <c r="I17" s="31"/>
      <c r="J17" s="31"/>
      <c r="K17" s="31"/>
      <c r="L17" s="306">
        <f t="shared" si="0"/>
        <v>2602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06">
        <f t="shared" si="1"/>
        <v>0</v>
      </c>
      <c r="AE17" s="25">
        <f t="shared" si="2"/>
        <v>2602</v>
      </c>
    </row>
    <row r="18" spans="1:31" ht="12.75">
      <c r="A18" s="29">
        <v>14</v>
      </c>
      <c r="B18" s="236" t="s">
        <v>686</v>
      </c>
      <c r="C18" s="180" t="s">
        <v>687</v>
      </c>
      <c r="L18" s="306">
        <f t="shared" si="0"/>
        <v>0</v>
      </c>
      <c r="AD18" s="306">
        <f t="shared" si="1"/>
        <v>0</v>
      </c>
      <c r="AE18" s="25">
        <f t="shared" si="2"/>
        <v>0</v>
      </c>
    </row>
    <row r="19" spans="1:31" ht="12.75">
      <c r="A19" s="28">
        <v>15</v>
      </c>
      <c r="B19" s="236" t="s">
        <v>686</v>
      </c>
      <c r="C19" s="180" t="s">
        <v>688</v>
      </c>
      <c r="L19" s="306">
        <f t="shared" si="0"/>
        <v>0</v>
      </c>
      <c r="AD19" s="306">
        <f t="shared" si="1"/>
        <v>0</v>
      </c>
      <c r="AE19" s="25">
        <f t="shared" si="2"/>
        <v>0</v>
      </c>
    </row>
    <row r="20" spans="1:31" ht="12.75">
      <c r="A20" s="28">
        <v>16</v>
      </c>
      <c r="B20" s="237"/>
      <c r="C20" s="179" t="s">
        <v>689</v>
      </c>
      <c r="D20" s="25">
        <f>SUM(D15:D19)</f>
        <v>2602</v>
      </c>
      <c r="E20" s="25">
        <f aca="true" t="shared" si="5" ref="E20:J20">SUM(E15:E19)</f>
        <v>0</v>
      </c>
      <c r="F20" s="25">
        <f t="shared" si="5"/>
        <v>0</v>
      </c>
      <c r="G20" s="25">
        <f t="shared" si="5"/>
        <v>0</v>
      </c>
      <c r="H20" s="25">
        <f t="shared" si="5"/>
        <v>0</v>
      </c>
      <c r="I20" s="25">
        <f t="shared" si="5"/>
        <v>11124</v>
      </c>
      <c r="J20" s="25">
        <f t="shared" si="5"/>
        <v>2992</v>
      </c>
      <c r="L20" s="306">
        <f t="shared" si="0"/>
        <v>16718</v>
      </c>
      <c r="M20" s="31">
        <f>SUM(M14:M19)</f>
        <v>0</v>
      </c>
      <c r="N20" s="31">
        <f aca="true" t="shared" si="6" ref="N20:AB20">SUM(N14:N19)</f>
        <v>0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31">
        <f t="shared" si="6"/>
        <v>0</v>
      </c>
      <c r="S20" s="31">
        <f t="shared" si="6"/>
        <v>0</v>
      </c>
      <c r="T20" s="31">
        <f t="shared" si="6"/>
        <v>0</v>
      </c>
      <c r="U20" s="31">
        <f t="shared" si="6"/>
        <v>0</v>
      </c>
      <c r="V20" s="31">
        <f t="shared" si="6"/>
        <v>0</v>
      </c>
      <c r="W20" s="31">
        <f t="shared" si="6"/>
        <v>0</v>
      </c>
      <c r="X20" s="31">
        <f t="shared" si="6"/>
        <v>9551</v>
      </c>
      <c r="Y20" s="31">
        <f t="shared" si="6"/>
        <v>2238</v>
      </c>
      <c r="Z20" s="31">
        <f t="shared" si="6"/>
        <v>0</v>
      </c>
      <c r="AA20" s="31">
        <f t="shared" si="6"/>
        <v>0</v>
      </c>
      <c r="AB20" s="31">
        <f t="shared" si="6"/>
        <v>0</v>
      </c>
      <c r="AC20" s="31"/>
      <c r="AD20" s="306">
        <f t="shared" si="1"/>
        <v>11789</v>
      </c>
      <c r="AE20" s="25">
        <f t="shared" si="2"/>
        <v>28507</v>
      </c>
    </row>
    <row r="21" spans="1:31" ht="12.75">
      <c r="A21" s="28">
        <v>17</v>
      </c>
      <c r="B21" s="236" t="s">
        <v>690</v>
      </c>
      <c r="C21" s="180" t="s">
        <v>691</v>
      </c>
      <c r="E21" s="25">
        <f>'[4]841133_011220'!$E$18</f>
        <v>128000</v>
      </c>
      <c r="L21" s="306">
        <f t="shared" si="0"/>
        <v>128000</v>
      </c>
      <c r="AD21" s="306">
        <f t="shared" si="1"/>
        <v>0</v>
      </c>
      <c r="AE21" s="25">
        <f t="shared" si="2"/>
        <v>128000</v>
      </c>
    </row>
    <row r="22" spans="1:31" s="26" customFormat="1" ht="12.75">
      <c r="A22" s="29">
        <v>18</v>
      </c>
      <c r="B22" s="236" t="s">
        <v>692</v>
      </c>
      <c r="C22" s="180" t="s">
        <v>693</v>
      </c>
      <c r="D22" s="31"/>
      <c r="E22" s="25">
        <f>'[4]841133_011220'!$E$19</f>
        <v>0</v>
      </c>
      <c r="F22" s="31"/>
      <c r="G22" s="31"/>
      <c r="H22" s="31"/>
      <c r="I22" s="31"/>
      <c r="J22" s="31"/>
      <c r="K22" s="31"/>
      <c r="L22" s="306">
        <f t="shared" si="0"/>
        <v>0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06">
        <f t="shared" si="1"/>
        <v>0</v>
      </c>
      <c r="AE22" s="25">
        <f t="shared" si="2"/>
        <v>0</v>
      </c>
    </row>
    <row r="23" spans="1:31" ht="12.75">
      <c r="A23" s="28">
        <v>19</v>
      </c>
      <c r="B23" s="236" t="s">
        <v>694</v>
      </c>
      <c r="C23" s="180" t="s">
        <v>695</v>
      </c>
      <c r="E23" s="25">
        <f>'[4]841133_011220'!$E$20</f>
        <v>179</v>
      </c>
      <c r="L23" s="306">
        <f t="shared" si="0"/>
        <v>179</v>
      </c>
      <c r="AD23" s="306">
        <f t="shared" si="1"/>
        <v>0</v>
      </c>
      <c r="AE23" s="25">
        <f t="shared" si="2"/>
        <v>179</v>
      </c>
    </row>
    <row r="24" spans="1:31" ht="17.25" customHeight="1">
      <c r="A24" s="28">
        <v>20</v>
      </c>
      <c r="B24" s="236" t="s">
        <v>696</v>
      </c>
      <c r="C24" s="180" t="s">
        <v>697</v>
      </c>
      <c r="E24" s="25">
        <f>'[4]841133_011220'!$E$21</f>
        <v>6500</v>
      </c>
      <c r="L24" s="306">
        <f t="shared" si="0"/>
        <v>6500</v>
      </c>
      <c r="AD24" s="306">
        <f t="shared" si="1"/>
        <v>0</v>
      </c>
      <c r="AE24" s="25">
        <f t="shared" si="2"/>
        <v>6500</v>
      </c>
    </row>
    <row r="25" spans="1:31" s="26" customFormat="1" ht="28.5" customHeight="1">
      <c r="A25" s="28">
        <v>21</v>
      </c>
      <c r="B25" s="236" t="s">
        <v>698</v>
      </c>
      <c r="C25" s="180" t="s">
        <v>699</v>
      </c>
      <c r="D25" s="31"/>
      <c r="E25" s="25">
        <f>'[4]841133_011220'!$E$22</f>
        <v>25000</v>
      </c>
      <c r="F25" s="31"/>
      <c r="G25" s="31"/>
      <c r="H25" s="31"/>
      <c r="I25" s="31"/>
      <c r="J25" s="31"/>
      <c r="K25" s="31"/>
      <c r="L25" s="306">
        <f t="shared" si="0"/>
        <v>25000</v>
      </c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06">
        <f t="shared" si="1"/>
        <v>0</v>
      </c>
      <c r="AE25" s="25">
        <f t="shared" si="2"/>
        <v>25000</v>
      </c>
    </row>
    <row r="26" spans="1:31" s="26" customFormat="1" ht="19.5" customHeight="1">
      <c r="A26" s="29">
        <v>22</v>
      </c>
      <c r="B26" s="238" t="s">
        <v>700</v>
      </c>
      <c r="C26" s="180" t="s">
        <v>701</v>
      </c>
      <c r="D26" s="31"/>
      <c r="E26" s="25">
        <f>'[4]841133_011220'!$E$23</f>
        <v>3900</v>
      </c>
      <c r="F26" s="31"/>
      <c r="G26" s="31"/>
      <c r="H26" s="31"/>
      <c r="I26" s="31"/>
      <c r="J26" s="31"/>
      <c r="K26" s="31"/>
      <c r="L26" s="306">
        <f t="shared" si="0"/>
        <v>3900</v>
      </c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06">
        <f t="shared" si="1"/>
        <v>0</v>
      </c>
      <c r="AE26" s="25">
        <f t="shared" si="2"/>
        <v>3900</v>
      </c>
    </row>
    <row r="27" spans="1:31" s="26" customFormat="1" ht="12.75">
      <c r="A27" s="28">
        <v>23</v>
      </c>
      <c r="B27" s="238" t="s">
        <v>702</v>
      </c>
      <c r="C27" s="180" t="s">
        <v>703</v>
      </c>
      <c r="D27" s="31"/>
      <c r="E27" s="25">
        <v>21552</v>
      </c>
      <c r="F27" s="31"/>
      <c r="G27" s="31"/>
      <c r="H27" s="31"/>
      <c r="I27" s="31"/>
      <c r="J27" s="31"/>
      <c r="K27" s="31"/>
      <c r="L27" s="306">
        <f t="shared" si="0"/>
        <v>21552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06">
        <f t="shared" si="1"/>
        <v>0</v>
      </c>
      <c r="AE27" s="25">
        <f t="shared" si="2"/>
        <v>21552</v>
      </c>
    </row>
    <row r="28" spans="1:31" s="26" customFormat="1" ht="17.25" customHeight="1">
      <c r="A28" s="28">
        <v>24</v>
      </c>
      <c r="B28" s="238" t="s">
        <v>704</v>
      </c>
      <c r="C28" s="180" t="s">
        <v>705</v>
      </c>
      <c r="D28" s="31"/>
      <c r="E28" s="25">
        <f>'[4]841133_011220'!$E$25</f>
        <v>0</v>
      </c>
      <c r="F28" s="31"/>
      <c r="G28" s="31"/>
      <c r="H28" s="31"/>
      <c r="I28" s="31"/>
      <c r="J28" s="31"/>
      <c r="K28" s="31"/>
      <c r="L28" s="306">
        <f t="shared" si="0"/>
        <v>0</v>
      </c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06">
        <f t="shared" si="1"/>
        <v>0</v>
      </c>
      <c r="AE28" s="25">
        <f t="shared" si="2"/>
        <v>0</v>
      </c>
    </row>
    <row r="29" spans="1:31" s="26" customFormat="1" ht="23.25" customHeight="1">
      <c r="A29" s="28">
        <v>25</v>
      </c>
      <c r="B29" s="213"/>
      <c r="C29" s="179" t="s">
        <v>706</v>
      </c>
      <c r="D29" s="31">
        <f>SUM(D21:D28)</f>
        <v>0</v>
      </c>
      <c r="E29" s="31">
        <f aca="true" t="shared" si="7" ref="E29:J29">SUM(E21:E28)</f>
        <v>185131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v>0</v>
      </c>
      <c r="L29" s="306">
        <f t="shared" si="0"/>
        <v>185131</v>
      </c>
      <c r="M29" s="31">
        <f>SUM(M21:M28)</f>
        <v>0</v>
      </c>
      <c r="N29" s="31">
        <f aca="true" t="shared" si="8" ref="N29:AB29">SUM(N21:N28)</f>
        <v>0</v>
      </c>
      <c r="O29" s="31">
        <f t="shared" si="8"/>
        <v>0</v>
      </c>
      <c r="P29" s="31">
        <f t="shared" si="8"/>
        <v>0</v>
      </c>
      <c r="Q29" s="31">
        <f t="shared" si="8"/>
        <v>0</v>
      </c>
      <c r="R29" s="31">
        <f t="shared" si="8"/>
        <v>0</v>
      </c>
      <c r="S29" s="31">
        <f t="shared" si="8"/>
        <v>0</v>
      </c>
      <c r="T29" s="31">
        <f t="shared" si="8"/>
        <v>0</v>
      </c>
      <c r="U29" s="31">
        <f t="shared" si="8"/>
        <v>0</v>
      </c>
      <c r="V29" s="31">
        <f t="shared" si="8"/>
        <v>0</v>
      </c>
      <c r="W29" s="31">
        <f t="shared" si="8"/>
        <v>0</v>
      </c>
      <c r="X29" s="31">
        <f t="shared" si="8"/>
        <v>0</v>
      </c>
      <c r="Y29" s="31">
        <f t="shared" si="8"/>
        <v>0</v>
      </c>
      <c r="Z29" s="31">
        <f t="shared" si="8"/>
        <v>0</v>
      </c>
      <c r="AA29" s="31">
        <f t="shared" si="8"/>
        <v>0</v>
      </c>
      <c r="AB29" s="31">
        <f t="shared" si="8"/>
        <v>0</v>
      </c>
      <c r="AC29" s="31"/>
      <c r="AD29" s="306">
        <f t="shared" si="1"/>
        <v>0</v>
      </c>
      <c r="AE29" s="25">
        <f t="shared" si="2"/>
        <v>185131</v>
      </c>
    </row>
    <row r="30" spans="1:31" s="26" customFormat="1" ht="15.75" customHeight="1">
      <c r="A30" s="29">
        <v>26</v>
      </c>
      <c r="B30" s="238" t="s">
        <v>707</v>
      </c>
      <c r="C30" s="180" t="s">
        <v>708</v>
      </c>
      <c r="D30" s="31"/>
      <c r="E30" s="31">
        <f>'[4]841133_011220'!$E$27</f>
        <v>900</v>
      </c>
      <c r="F30" s="31"/>
      <c r="G30" s="31"/>
      <c r="H30" s="31"/>
      <c r="I30" s="31"/>
      <c r="J30" s="31"/>
      <c r="K30" s="31"/>
      <c r="L30" s="306">
        <f t="shared" si="0"/>
        <v>900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06">
        <f t="shared" si="1"/>
        <v>0</v>
      </c>
      <c r="AE30" s="25">
        <f t="shared" si="2"/>
        <v>900</v>
      </c>
    </row>
    <row r="31" spans="1:31" s="26" customFormat="1" ht="17.25" customHeight="1">
      <c r="A31" s="28">
        <v>27</v>
      </c>
      <c r="B31" s="238" t="s">
        <v>709</v>
      </c>
      <c r="C31" s="180" t="s">
        <v>710</v>
      </c>
      <c r="D31" s="31"/>
      <c r="E31" s="31">
        <f>'[4]841133_011220'!$E$28</f>
        <v>0</v>
      </c>
      <c r="F31" s="31"/>
      <c r="G31" s="31"/>
      <c r="H31" s="31"/>
      <c r="I31" s="31"/>
      <c r="J31" s="31"/>
      <c r="K31" s="31"/>
      <c r="L31" s="306">
        <f t="shared" si="0"/>
        <v>0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06">
        <f t="shared" si="1"/>
        <v>0</v>
      </c>
      <c r="AE31" s="25">
        <f t="shared" si="2"/>
        <v>0</v>
      </c>
    </row>
    <row r="32" spans="1:31" ht="20.25" customHeight="1">
      <c r="A32" s="28">
        <v>28</v>
      </c>
      <c r="B32" s="213"/>
      <c r="C32" s="179" t="s">
        <v>711</v>
      </c>
      <c r="D32" s="25">
        <f>D29+D30+D31</f>
        <v>0</v>
      </c>
      <c r="E32" s="25">
        <f aca="true" t="shared" si="9" ref="E32:J32">E29+E30+E31</f>
        <v>186031</v>
      </c>
      <c r="F32" s="25">
        <f t="shared" si="9"/>
        <v>0</v>
      </c>
      <c r="G32" s="25">
        <f t="shared" si="9"/>
        <v>0</v>
      </c>
      <c r="H32" s="25">
        <f t="shared" si="9"/>
        <v>0</v>
      </c>
      <c r="I32" s="25">
        <f t="shared" si="9"/>
        <v>0</v>
      </c>
      <c r="J32" s="25">
        <f t="shared" si="9"/>
        <v>0</v>
      </c>
      <c r="K32" s="25">
        <v>0</v>
      </c>
      <c r="L32" s="306">
        <f t="shared" si="0"/>
        <v>186031</v>
      </c>
      <c r="M32" s="31">
        <f>M29+M30+M31</f>
        <v>0</v>
      </c>
      <c r="N32" s="31">
        <f aca="true" t="shared" si="10" ref="N32:AB32">N29+N30+N31</f>
        <v>0</v>
      </c>
      <c r="O32" s="31">
        <f t="shared" si="10"/>
        <v>0</v>
      </c>
      <c r="P32" s="31">
        <f t="shared" si="10"/>
        <v>0</v>
      </c>
      <c r="Q32" s="31">
        <f t="shared" si="10"/>
        <v>0</v>
      </c>
      <c r="R32" s="31">
        <f t="shared" si="10"/>
        <v>0</v>
      </c>
      <c r="S32" s="31">
        <f t="shared" si="10"/>
        <v>0</v>
      </c>
      <c r="T32" s="31">
        <f t="shared" si="10"/>
        <v>0</v>
      </c>
      <c r="U32" s="31">
        <f t="shared" si="10"/>
        <v>0</v>
      </c>
      <c r="V32" s="31">
        <f t="shared" si="10"/>
        <v>0</v>
      </c>
      <c r="W32" s="31">
        <f t="shared" si="10"/>
        <v>0</v>
      </c>
      <c r="X32" s="31">
        <f t="shared" si="10"/>
        <v>0</v>
      </c>
      <c r="Y32" s="31">
        <f t="shared" si="10"/>
        <v>0</v>
      </c>
      <c r="Z32" s="31">
        <f t="shared" si="10"/>
        <v>0</v>
      </c>
      <c r="AA32" s="31">
        <f t="shared" si="10"/>
        <v>0</v>
      </c>
      <c r="AB32" s="31">
        <f t="shared" si="10"/>
        <v>0</v>
      </c>
      <c r="AC32" s="31"/>
      <c r="AD32" s="306">
        <f t="shared" si="1"/>
        <v>0</v>
      </c>
      <c r="AE32" s="25">
        <f t="shared" si="2"/>
        <v>186031</v>
      </c>
    </row>
    <row r="33" spans="1:31" ht="12.75">
      <c r="A33" s="28">
        <v>29</v>
      </c>
      <c r="B33" s="238" t="s">
        <v>712</v>
      </c>
      <c r="C33" s="180" t="s">
        <v>101</v>
      </c>
      <c r="L33" s="306">
        <f t="shared" si="0"/>
        <v>0</v>
      </c>
      <c r="R33" s="25">
        <f>'[5]562917_999999'!$E$9</f>
        <v>3525</v>
      </c>
      <c r="AD33" s="306">
        <f t="shared" si="1"/>
        <v>3525</v>
      </c>
      <c r="AE33" s="25">
        <f t="shared" si="2"/>
        <v>3525</v>
      </c>
    </row>
    <row r="34" spans="1:31" ht="12.75">
      <c r="A34" s="29">
        <v>30</v>
      </c>
      <c r="B34" s="238" t="s">
        <v>713</v>
      </c>
      <c r="C34" s="180" t="s">
        <v>13</v>
      </c>
      <c r="L34" s="306">
        <f t="shared" si="0"/>
        <v>0</v>
      </c>
      <c r="U34" s="25">
        <f>'[5]680002_013350'!$E$8</f>
        <v>8400</v>
      </c>
      <c r="Z34" s="25">
        <f>'[5]910502_082092'!$E$8</f>
        <v>320</v>
      </c>
      <c r="AD34" s="306">
        <f t="shared" si="1"/>
        <v>8720</v>
      </c>
      <c r="AE34" s="25">
        <f t="shared" si="2"/>
        <v>8720</v>
      </c>
    </row>
    <row r="35" spans="1:31" s="26" customFormat="1" ht="12.75">
      <c r="A35" s="28">
        <v>31</v>
      </c>
      <c r="B35" s="238" t="s">
        <v>714</v>
      </c>
      <c r="C35" s="180" t="s">
        <v>715</v>
      </c>
      <c r="D35" s="31"/>
      <c r="E35" s="31"/>
      <c r="F35" s="31"/>
      <c r="G35" s="31"/>
      <c r="H35" s="31"/>
      <c r="I35" s="31"/>
      <c r="J35" s="31"/>
      <c r="K35" s="31"/>
      <c r="L35" s="306">
        <f t="shared" si="0"/>
        <v>0</v>
      </c>
      <c r="M35" s="31"/>
      <c r="N35" s="31"/>
      <c r="O35" s="31"/>
      <c r="P35" s="31"/>
      <c r="Q35" s="31"/>
      <c r="R35" s="31"/>
      <c r="S35" s="31">
        <f>'[5]562916_081071'!$E$9</f>
        <v>4128</v>
      </c>
      <c r="T35" s="31"/>
      <c r="U35" s="31"/>
      <c r="V35" s="31"/>
      <c r="W35" s="31"/>
      <c r="X35" s="31"/>
      <c r="Y35" s="31"/>
      <c r="Z35" s="31">
        <f>'[5]910502_082092'!$E$9</f>
        <v>130</v>
      </c>
      <c r="AA35" s="31">
        <v>1480</v>
      </c>
      <c r="AB35" s="31">
        <f>'[5]960302_013320'!$E$9</f>
        <v>185</v>
      </c>
      <c r="AC35" s="31"/>
      <c r="AD35" s="306">
        <f t="shared" si="1"/>
        <v>5923</v>
      </c>
      <c r="AE35" s="25">
        <f t="shared" si="2"/>
        <v>5923</v>
      </c>
    </row>
    <row r="36" spans="1:31" ht="17.25" customHeight="1">
      <c r="A36" s="28">
        <v>32</v>
      </c>
      <c r="B36" s="239" t="s">
        <v>716</v>
      </c>
      <c r="C36" s="179" t="s">
        <v>717</v>
      </c>
      <c r="D36" s="25">
        <f>SUM(D33:D35)</f>
        <v>0</v>
      </c>
      <c r="E36" s="25">
        <f aca="true" t="shared" si="11" ref="E36:J36">SUM(E33:E35)</f>
        <v>0</v>
      </c>
      <c r="F36" s="25">
        <f t="shared" si="11"/>
        <v>0</v>
      </c>
      <c r="G36" s="25">
        <f t="shared" si="11"/>
        <v>0</v>
      </c>
      <c r="H36" s="25">
        <f t="shared" si="11"/>
        <v>0</v>
      </c>
      <c r="I36" s="25">
        <f t="shared" si="11"/>
        <v>0</v>
      </c>
      <c r="J36" s="25">
        <f t="shared" si="11"/>
        <v>0</v>
      </c>
      <c r="L36" s="306">
        <f t="shared" si="0"/>
        <v>0</v>
      </c>
      <c r="M36" s="31">
        <f>SUM(M33:M35)</f>
        <v>0</v>
      </c>
      <c r="N36" s="31">
        <f aca="true" t="shared" si="12" ref="N36:AB36">SUM(N33:N35)</f>
        <v>0</v>
      </c>
      <c r="O36" s="31">
        <f t="shared" si="12"/>
        <v>0</v>
      </c>
      <c r="P36" s="31">
        <f t="shared" si="12"/>
        <v>0</v>
      </c>
      <c r="Q36" s="31">
        <f t="shared" si="12"/>
        <v>0</v>
      </c>
      <c r="R36" s="31">
        <f t="shared" si="12"/>
        <v>3525</v>
      </c>
      <c r="S36" s="31">
        <f t="shared" si="12"/>
        <v>4128</v>
      </c>
      <c r="T36" s="31">
        <f t="shared" si="12"/>
        <v>0</v>
      </c>
      <c r="U36" s="31">
        <f t="shared" si="12"/>
        <v>8400</v>
      </c>
      <c r="V36" s="31">
        <f t="shared" si="12"/>
        <v>0</v>
      </c>
      <c r="W36" s="31">
        <f t="shared" si="12"/>
        <v>0</v>
      </c>
      <c r="X36" s="31">
        <f t="shared" si="12"/>
        <v>0</v>
      </c>
      <c r="Y36" s="31">
        <f t="shared" si="12"/>
        <v>0</v>
      </c>
      <c r="Z36" s="31">
        <f t="shared" si="12"/>
        <v>450</v>
      </c>
      <c r="AA36" s="31">
        <f t="shared" si="12"/>
        <v>1480</v>
      </c>
      <c r="AB36" s="31">
        <f t="shared" si="12"/>
        <v>185</v>
      </c>
      <c r="AC36" s="31"/>
      <c r="AD36" s="306">
        <f t="shared" si="1"/>
        <v>18168</v>
      </c>
      <c r="AE36" s="25">
        <f t="shared" si="2"/>
        <v>18168</v>
      </c>
    </row>
    <row r="37" spans="1:31" ht="19.5" customHeight="1">
      <c r="A37" s="28">
        <v>33</v>
      </c>
      <c r="B37" s="238" t="s">
        <v>718</v>
      </c>
      <c r="C37" s="240" t="s">
        <v>719</v>
      </c>
      <c r="L37" s="306">
        <f t="shared" si="0"/>
        <v>0</v>
      </c>
      <c r="O37" s="25">
        <f>'[5]381103_051030'!$E$11</f>
        <v>3500</v>
      </c>
      <c r="U37" s="25">
        <f>'[5]680002_013350'!$E$11</f>
        <v>3400</v>
      </c>
      <c r="AC37" s="25">
        <v>4903</v>
      </c>
      <c r="AD37" s="306">
        <f t="shared" si="1"/>
        <v>6900</v>
      </c>
      <c r="AE37" s="25">
        <f t="shared" si="2"/>
        <v>6900</v>
      </c>
    </row>
    <row r="38" spans="1:31" s="26" customFormat="1" ht="12.75">
      <c r="A38" s="29">
        <v>34</v>
      </c>
      <c r="B38" s="238" t="s">
        <v>720</v>
      </c>
      <c r="C38" s="241" t="s">
        <v>721</v>
      </c>
      <c r="D38" s="31"/>
      <c r="E38" s="31"/>
      <c r="F38" s="31"/>
      <c r="G38" s="31"/>
      <c r="H38" s="31"/>
      <c r="I38" s="31"/>
      <c r="J38" s="31"/>
      <c r="K38" s="31"/>
      <c r="L38" s="306">
        <f t="shared" si="0"/>
        <v>0</v>
      </c>
      <c r="M38" s="31"/>
      <c r="N38" s="31"/>
      <c r="O38" s="31"/>
      <c r="P38" s="31"/>
      <c r="Q38" s="31"/>
      <c r="R38" s="31"/>
      <c r="S38" s="31"/>
      <c r="T38" s="31">
        <f>'[5]680001_013350'!$E$12</f>
        <v>3200</v>
      </c>
      <c r="U38" s="31"/>
      <c r="V38" s="31"/>
      <c r="W38" s="31"/>
      <c r="X38" s="31"/>
      <c r="Y38" s="31"/>
      <c r="Z38" s="31"/>
      <c r="AA38" s="31"/>
      <c r="AB38" s="31"/>
      <c r="AC38" s="31"/>
      <c r="AD38" s="306">
        <f t="shared" si="1"/>
        <v>3200</v>
      </c>
      <c r="AE38" s="25">
        <f t="shared" si="2"/>
        <v>3200</v>
      </c>
    </row>
    <row r="39" spans="1:31" s="26" customFormat="1" ht="15.75" customHeight="1">
      <c r="A39" s="28">
        <v>35</v>
      </c>
      <c r="B39" s="238" t="s">
        <v>722</v>
      </c>
      <c r="C39" s="180" t="s">
        <v>723</v>
      </c>
      <c r="D39" s="31"/>
      <c r="E39" s="31"/>
      <c r="F39" s="31"/>
      <c r="G39" s="31"/>
      <c r="H39" s="31"/>
      <c r="I39" s="31"/>
      <c r="J39" s="31"/>
      <c r="K39" s="31"/>
      <c r="L39" s="306">
        <f aca="true" t="shared" si="13" ref="L39:L60">SUM(D39:J39)</f>
        <v>0</v>
      </c>
      <c r="M39" s="31"/>
      <c r="N39" s="31">
        <f>'[5]37000_052020'!$E$13</f>
        <v>5676</v>
      </c>
      <c r="O39" s="31"/>
      <c r="P39" s="31"/>
      <c r="Q39" s="31"/>
      <c r="R39" s="31"/>
      <c r="S39" s="31"/>
      <c r="T39" s="31"/>
      <c r="U39" s="31">
        <f>'[5]680002_013350'!$E$13</f>
        <v>344</v>
      </c>
      <c r="V39" s="31"/>
      <c r="W39" s="31"/>
      <c r="X39" s="31"/>
      <c r="Y39" s="31"/>
      <c r="Z39" s="31"/>
      <c r="AA39" s="31"/>
      <c r="AB39" s="31"/>
      <c r="AC39" s="31"/>
      <c r="AD39" s="306">
        <f t="shared" si="1"/>
        <v>6020</v>
      </c>
      <c r="AE39" s="25">
        <f t="shared" si="2"/>
        <v>6020</v>
      </c>
    </row>
    <row r="40" spans="1:31" ht="20.25" customHeight="1">
      <c r="A40" s="28">
        <v>36</v>
      </c>
      <c r="B40" s="239" t="s">
        <v>724</v>
      </c>
      <c r="C40" s="179" t="s">
        <v>725</v>
      </c>
      <c r="D40" s="25">
        <f>SUM(D36+D37+D38+D22)</f>
        <v>0</v>
      </c>
      <c r="E40" s="25">
        <f aca="true" t="shared" si="14" ref="E40:J40">SUM(E36+E37+E38+E22)</f>
        <v>0</v>
      </c>
      <c r="F40" s="25">
        <f t="shared" si="14"/>
        <v>0</v>
      </c>
      <c r="G40" s="25">
        <f t="shared" si="14"/>
        <v>0</v>
      </c>
      <c r="H40" s="25">
        <f t="shared" si="14"/>
        <v>0</v>
      </c>
      <c r="I40" s="25">
        <f t="shared" si="14"/>
        <v>0</v>
      </c>
      <c r="J40" s="25">
        <f t="shared" si="14"/>
        <v>0</v>
      </c>
      <c r="L40" s="306">
        <f t="shared" si="13"/>
        <v>0</v>
      </c>
      <c r="M40" s="31">
        <f>SUM(M37:M39)</f>
        <v>0</v>
      </c>
      <c r="N40" s="31">
        <f>SUM(N38:N39)</f>
        <v>5676</v>
      </c>
      <c r="O40" s="31">
        <f aca="true" t="shared" si="15" ref="O40:AC40">SUM(O38:O39)</f>
        <v>0</v>
      </c>
      <c r="P40" s="31">
        <f t="shared" si="15"/>
        <v>0</v>
      </c>
      <c r="Q40" s="31">
        <f t="shared" si="15"/>
        <v>0</v>
      </c>
      <c r="R40" s="31">
        <f t="shared" si="15"/>
        <v>0</v>
      </c>
      <c r="S40" s="31">
        <f t="shared" si="15"/>
        <v>0</v>
      </c>
      <c r="T40" s="31">
        <f t="shared" si="15"/>
        <v>3200</v>
      </c>
      <c r="U40" s="31">
        <f t="shared" si="15"/>
        <v>344</v>
      </c>
      <c r="V40" s="31">
        <f t="shared" si="15"/>
        <v>0</v>
      </c>
      <c r="W40" s="31">
        <f t="shared" si="15"/>
        <v>0</v>
      </c>
      <c r="X40" s="31">
        <f t="shared" si="15"/>
        <v>0</v>
      </c>
      <c r="Y40" s="31">
        <f t="shared" si="15"/>
        <v>0</v>
      </c>
      <c r="Z40" s="31">
        <f t="shared" si="15"/>
        <v>0</v>
      </c>
      <c r="AA40" s="31">
        <f t="shared" si="15"/>
        <v>0</v>
      </c>
      <c r="AB40" s="31">
        <f t="shared" si="15"/>
        <v>0</v>
      </c>
      <c r="AC40" s="31">
        <f t="shared" si="15"/>
        <v>0</v>
      </c>
      <c r="AD40" s="306">
        <f t="shared" si="1"/>
        <v>9220</v>
      </c>
      <c r="AE40" s="25">
        <f t="shared" si="2"/>
        <v>9220</v>
      </c>
    </row>
    <row r="41" spans="1:31" ht="12.75">
      <c r="A41" s="28">
        <v>37</v>
      </c>
      <c r="B41" s="238" t="s">
        <v>726</v>
      </c>
      <c r="C41" s="180" t="s">
        <v>727</v>
      </c>
      <c r="L41" s="306">
        <f t="shared" si="13"/>
        <v>0</v>
      </c>
      <c r="P41" s="25">
        <f>'[5]562912_096010'!$E$15</f>
        <v>1313</v>
      </c>
      <c r="AD41" s="306">
        <f t="shared" si="1"/>
        <v>1313</v>
      </c>
      <c r="AE41" s="25">
        <f t="shared" si="2"/>
        <v>1313</v>
      </c>
    </row>
    <row r="42" spans="1:31" ht="12.75">
      <c r="A42" s="29">
        <v>38</v>
      </c>
      <c r="B42" s="238" t="s">
        <v>726</v>
      </c>
      <c r="C42" s="180" t="s">
        <v>728</v>
      </c>
      <c r="L42" s="306">
        <f t="shared" si="13"/>
        <v>0</v>
      </c>
      <c r="Q42" s="25">
        <f>'[5]562913_096020'!$E$16</f>
        <v>5951</v>
      </c>
      <c r="AD42" s="306">
        <f t="shared" si="1"/>
        <v>5951</v>
      </c>
      <c r="AE42" s="25">
        <f t="shared" si="2"/>
        <v>5951</v>
      </c>
    </row>
    <row r="43" spans="1:31" ht="12.75">
      <c r="A43" s="28">
        <v>39</v>
      </c>
      <c r="B43" s="238" t="s">
        <v>726</v>
      </c>
      <c r="C43" s="180" t="s">
        <v>729</v>
      </c>
      <c r="L43" s="306">
        <f t="shared" si="13"/>
        <v>0</v>
      </c>
      <c r="W43" s="25">
        <v>2085</v>
      </c>
      <c r="AD43" s="306">
        <f t="shared" si="1"/>
        <v>2085</v>
      </c>
      <c r="AE43" s="25">
        <f t="shared" si="2"/>
        <v>2085</v>
      </c>
    </row>
    <row r="44" spans="1:31" ht="21" customHeight="1">
      <c r="A44" s="28">
        <v>40</v>
      </c>
      <c r="B44" s="239" t="s">
        <v>730</v>
      </c>
      <c r="C44" s="240" t="s">
        <v>731</v>
      </c>
      <c r="D44" s="25">
        <f>SUM(D41:D43)</f>
        <v>0</v>
      </c>
      <c r="E44" s="25">
        <f aca="true" t="shared" si="16" ref="E44:J44">SUM(E41:E43)</f>
        <v>0</v>
      </c>
      <c r="F44" s="25">
        <f t="shared" si="16"/>
        <v>0</v>
      </c>
      <c r="G44" s="25">
        <f t="shared" si="16"/>
        <v>0</v>
      </c>
      <c r="H44" s="25">
        <f t="shared" si="16"/>
        <v>0</v>
      </c>
      <c r="I44" s="25">
        <f t="shared" si="16"/>
        <v>0</v>
      </c>
      <c r="J44" s="25">
        <f t="shared" si="16"/>
        <v>0</v>
      </c>
      <c r="L44" s="306">
        <f t="shared" si="13"/>
        <v>0</v>
      </c>
      <c r="M44" s="31">
        <f>SUM(M41:M43)</f>
        <v>0</v>
      </c>
      <c r="N44" s="31">
        <f aca="true" t="shared" si="17" ref="N44:AB44">SUM(N41:N43)</f>
        <v>0</v>
      </c>
      <c r="O44" s="31">
        <f t="shared" si="17"/>
        <v>0</v>
      </c>
      <c r="P44" s="31">
        <f t="shared" si="17"/>
        <v>1313</v>
      </c>
      <c r="Q44" s="31">
        <f t="shared" si="17"/>
        <v>5951</v>
      </c>
      <c r="R44" s="31">
        <f t="shared" si="17"/>
        <v>0</v>
      </c>
      <c r="S44" s="31">
        <f t="shared" si="17"/>
        <v>0</v>
      </c>
      <c r="T44" s="31">
        <f t="shared" si="17"/>
        <v>0</v>
      </c>
      <c r="U44" s="31">
        <f t="shared" si="17"/>
        <v>0</v>
      </c>
      <c r="V44" s="31">
        <f t="shared" si="17"/>
        <v>0</v>
      </c>
      <c r="W44" s="31">
        <f t="shared" si="17"/>
        <v>2085</v>
      </c>
      <c r="X44" s="31">
        <f t="shared" si="17"/>
        <v>0</v>
      </c>
      <c r="Y44" s="31">
        <f t="shared" si="17"/>
        <v>0</v>
      </c>
      <c r="Z44" s="31">
        <f t="shared" si="17"/>
        <v>0</v>
      </c>
      <c r="AA44" s="31">
        <f t="shared" si="17"/>
        <v>0</v>
      </c>
      <c r="AB44" s="31">
        <f t="shared" si="17"/>
        <v>0</v>
      </c>
      <c r="AC44" s="31"/>
      <c r="AD44" s="306">
        <f t="shared" si="1"/>
        <v>9349</v>
      </c>
      <c r="AE44" s="25">
        <f t="shared" si="2"/>
        <v>9349</v>
      </c>
    </row>
    <row r="45" spans="1:31" ht="12.75">
      <c r="A45" s="28">
        <v>41</v>
      </c>
      <c r="B45" s="238" t="s">
        <v>732</v>
      </c>
      <c r="C45" s="241" t="s">
        <v>733</v>
      </c>
      <c r="D45" s="25">
        <v>808</v>
      </c>
      <c r="G45" s="25">
        <v>1350</v>
      </c>
      <c r="L45" s="306">
        <f t="shared" si="13"/>
        <v>2158</v>
      </c>
      <c r="N45" s="25">
        <f>'[5]37000_052020'!$E$19</f>
        <v>1533</v>
      </c>
      <c r="O45" s="25">
        <f>'[5]381103_051030'!$E$19</f>
        <v>945</v>
      </c>
      <c r="P45" s="25">
        <f>'[5]562912_096010'!$E$19</f>
        <v>355</v>
      </c>
      <c r="Q45" s="25">
        <f>'[5]562913_096020'!$E$19</f>
        <v>1607</v>
      </c>
      <c r="R45" s="25">
        <f>'[5]562917_999999'!$E$19</f>
        <v>952</v>
      </c>
      <c r="S45" s="25">
        <f>'[5]562916_081071'!$E$19</f>
        <v>1115</v>
      </c>
      <c r="U45" s="25">
        <f>'[5]680002_013350'!$E$19</f>
        <v>918</v>
      </c>
      <c r="W45" s="25">
        <f>'[5]889921_107051'!$J$19</f>
        <v>491</v>
      </c>
      <c r="AD45" s="306">
        <f t="shared" si="1"/>
        <v>7916</v>
      </c>
      <c r="AE45" s="25">
        <f t="shared" si="2"/>
        <v>10074</v>
      </c>
    </row>
    <row r="46" spans="1:31" ht="12.75">
      <c r="A46" s="29">
        <v>42</v>
      </c>
      <c r="B46" s="238" t="s">
        <v>734</v>
      </c>
      <c r="C46" s="180" t="s">
        <v>735</v>
      </c>
      <c r="D46" s="25">
        <f>'[4]841112_022130'!$E$45</f>
        <v>675</v>
      </c>
      <c r="L46" s="306">
        <f t="shared" si="13"/>
        <v>675</v>
      </c>
      <c r="M46" s="31">
        <v>6</v>
      </c>
      <c r="AD46" s="306">
        <f t="shared" si="1"/>
        <v>0</v>
      </c>
      <c r="AE46" s="25">
        <f t="shared" si="2"/>
        <v>681</v>
      </c>
    </row>
    <row r="47" spans="1:31" ht="12.75">
      <c r="A47" s="28">
        <v>43</v>
      </c>
      <c r="B47" s="238" t="s">
        <v>736</v>
      </c>
      <c r="C47" s="180" t="s">
        <v>737</v>
      </c>
      <c r="L47" s="306">
        <f t="shared" si="13"/>
        <v>0</v>
      </c>
      <c r="AD47" s="306">
        <f t="shared" si="1"/>
        <v>0</v>
      </c>
      <c r="AE47" s="25">
        <f t="shared" si="2"/>
        <v>0</v>
      </c>
    </row>
    <row r="48" spans="1:31" ht="12.75">
      <c r="A48" s="28">
        <v>44</v>
      </c>
      <c r="B48" s="238" t="s">
        <v>738</v>
      </c>
      <c r="C48" s="180" t="s">
        <v>739</v>
      </c>
      <c r="F48" s="25">
        <v>706</v>
      </c>
      <c r="L48" s="306">
        <f t="shared" si="13"/>
        <v>706</v>
      </c>
      <c r="AD48" s="306">
        <f t="shared" si="1"/>
        <v>0</v>
      </c>
      <c r="AE48" s="25">
        <f t="shared" si="2"/>
        <v>706</v>
      </c>
    </row>
    <row r="49" spans="1:31" ht="17.25" customHeight="1">
      <c r="A49" s="28">
        <v>45</v>
      </c>
      <c r="B49" s="238" t="s">
        <v>740</v>
      </c>
      <c r="C49" s="180" t="s">
        <v>741</v>
      </c>
      <c r="D49" s="25">
        <v>200</v>
      </c>
      <c r="L49" s="306">
        <f t="shared" si="13"/>
        <v>200</v>
      </c>
      <c r="AD49" s="306">
        <f t="shared" si="1"/>
        <v>0</v>
      </c>
      <c r="AE49" s="25">
        <f t="shared" si="2"/>
        <v>200</v>
      </c>
    </row>
    <row r="50" spans="1:31" ht="23.25" customHeight="1">
      <c r="A50" s="29">
        <v>46</v>
      </c>
      <c r="B50" s="239">
        <v>941</v>
      </c>
      <c r="C50" s="179" t="s">
        <v>742</v>
      </c>
      <c r="D50" s="25">
        <f>SUM(D45:D49)</f>
        <v>1683</v>
      </c>
      <c r="E50" s="25">
        <f aca="true" t="shared" si="18" ref="E50:J50">SUM(E45:E49)</f>
        <v>0</v>
      </c>
      <c r="F50" s="25">
        <f t="shared" si="18"/>
        <v>706</v>
      </c>
      <c r="G50" s="25">
        <f t="shared" si="18"/>
        <v>1350</v>
      </c>
      <c r="H50" s="25">
        <f t="shared" si="18"/>
        <v>0</v>
      </c>
      <c r="I50" s="25">
        <f t="shared" si="18"/>
        <v>0</v>
      </c>
      <c r="J50" s="25">
        <f t="shared" si="18"/>
        <v>0</v>
      </c>
      <c r="L50" s="306">
        <f t="shared" si="13"/>
        <v>3739</v>
      </c>
      <c r="M50" s="31">
        <f>SUM(M45:M49)</f>
        <v>6</v>
      </c>
      <c r="N50" s="31">
        <f aca="true" t="shared" si="19" ref="N50:AB50">SUM(N45:N49)</f>
        <v>1533</v>
      </c>
      <c r="O50" s="31">
        <f t="shared" si="19"/>
        <v>945</v>
      </c>
      <c r="P50" s="31">
        <f t="shared" si="19"/>
        <v>355</v>
      </c>
      <c r="Q50" s="31">
        <f t="shared" si="19"/>
        <v>1607</v>
      </c>
      <c r="R50" s="31">
        <f t="shared" si="19"/>
        <v>952</v>
      </c>
      <c r="S50" s="31">
        <f t="shared" si="19"/>
        <v>1115</v>
      </c>
      <c r="T50" s="31">
        <f t="shared" si="19"/>
        <v>0</v>
      </c>
      <c r="U50" s="31">
        <f t="shared" si="19"/>
        <v>918</v>
      </c>
      <c r="V50" s="31">
        <f t="shared" si="19"/>
        <v>0</v>
      </c>
      <c r="W50" s="31">
        <f t="shared" si="19"/>
        <v>491</v>
      </c>
      <c r="X50" s="31">
        <f t="shared" si="19"/>
        <v>0</v>
      </c>
      <c r="Y50" s="31">
        <f t="shared" si="19"/>
        <v>0</v>
      </c>
      <c r="Z50" s="31">
        <f t="shared" si="19"/>
        <v>0</v>
      </c>
      <c r="AA50" s="31">
        <f t="shared" si="19"/>
        <v>0</v>
      </c>
      <c r="AB50" s="31">
        <f t="shared" si="19"/>
        <v>0</v>
      </c>
      <c r="AC50" s="31"/>
      <c r="AD50" s="306">
        <f t="shared" si="1"/>
        <v>7916</v>
      </c>
      <c r="AE50" s="25">
        <f t="shared" si="2"/>
        <v>11661</v>
      </c>
    </row>
    <row r="51" spans="1:31" s="26" customFormat="1" ht="12.75">
      <c r="A51" s="28">
        <v>47</v>
      </c>
      <c r="B51" s="238" t="s">
        <v>744</v>
      </c>
      <c r="C51" s="180" t="s">
        <v>745</v>
      </c>
      <c r="D51" s="31"/>
      <c r="E51" s="31"/>
      <c r="F51" s="31"/>
      <c r="G51" s="31"/>
      <c r="H51" s="31"/>
      <c r="I51" s="31"/>
      <c r="J51" s="31"/>
      <c r="K51" s="31"/>
      <c r="L51" s="306">
        <f t="shared" si="13"/>
        <v>0</v>
      </c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06">
        <f t="shared" si="1"/>
        <v>0</v>
      </c>
      <c r="AE51" s="25">
        <f t="shared" si="2"/>
        <v>0</v>
      </c>
    </row>
    <row r="52" spans="1:31" s="26" customFormat="1" ht="12.75">
      <c r="A52" s="28">
        <v>48</v>
      </c>
      <c r="B52" s="238" t="s">
        <v>744</v>
      </c>
      <c r="C52" s="180" t="s">
        <v>746</v>
      </c>
      <c r="D52" s="31"/>
      <c r="E52" s="31"/>
      <c r="F52" s="31"/>
      <c r="G52" s="31"/>
      <c r="H52" s="31"/>
      <c r="I52" s="31"/>
      <c r="J52" s="31"/>
      <c r="K52" s="31"/>
      <c r="L52" s="306">
        <f t="shared" si="13"/>
        <v>0</v>
      </c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06">
        <f t="shared" si="1"/>
        <v>0</v>
      </c>
      <c r="AE52" s="25">
        <f t="shared" si="2"/>
        <v>0</v>
      </c>
    </row>
    <row r="53" spans="1:31" ht="12.75">
      <c r="A53" s="28">
        <v>49</v>
      </c>
      <c r="B53" s="238" t="s">
        <v>744</v>
      </c>
      <c r="C53" s="180" t="s">
        <v>747</v>
      </c>
      <c r="L53" s="306">
        <f t="shared" si="13"/>
        <v>0</v>
      </c>
      <c r="AD53" s="306">
        <f t="shared" si="1"/>
        <v>0</v>
      </c>
      <c r="AE53" s="25">
        <f t="shared" si="2"/>
        <v>0</v>
      </c>
    </row>
    <row r="54" spans="1:31" ht="12.75">
      <c r="A54" s="29">
        <v>50</v>
      </c>
      <c r="B54" s="238" t="s">
        <v>744</v>
      </c>
      <c r="C54" s="180" t="s">
        <v>748</v>
      </c>
      <c r="D54" s="25">
        <v>900</v>
      </c>
      <c r="F54" s="25">
        <v>5076</v>
      </c>
      <c r="L54" s="306">
        <f t="shared" si="13"/>
        <v>5976</v>
      </c>
      <c r="AC54" s="25">
        <v>560</v>
      </c>
      <c r="AD54" s="306">
        <f t="shared" si="1"/>
        <v>0</v>
      </c>
      <c r="AE54" s="25">
        <f t="shared" si="2"/>
        <v>5976</v>
      </c>
    </row>
    <row r="55" spans="1:31" ht="12.75">
      <c r="A55" s="28">
        <v>51</v>
      </c>
      <c r="B55" s="239" t="s">
        <v>744</v>
      </c>
      <c r="C55" s="179" t="s">
        <v>749</v>
      </c>
      <c r="D55" s="25">
        <f>SUM(D51:D54)</f>
        <v>900</v>
      </c>
      <c r="E55" s="25">
        <f aca="true" t="shared" si="20" ref="E55:J55">SUM(E51:E54)</f>
        <v>0</v>
      </c>
      <c r="F55" s="25">
        <f>SUM(F51:F54)</f>
        <v>5076</v>
      </c>
      <c r="G55" s="25">
        <f t="shared" si="20"/>
        <v>0</v>
      </c>
      <c r="H55" s="25">
        <f t="shared" si="20"/>
        <v>0</v>
      </c>
      <c r="I55" s="25">
        <f t="shared" si="20"/>
        <v>0</v>
      </c>
      <c r="J55" s="25">
        <f t="shared" si="20"/>
        <v>0</v>
      </c>
      <c r="L55" s="306">
        <f t="shared" si="13"/>
        <v>5976</v>
      </c>
      <c r="M55" s="31">
        <f>SUM(M51:M54)</f>
        <v>0</v>
      </c>
      <c r="N55" s="31">
        <f aca="true" t="shared" si="21" ref="N55:AC55">SUM(N51:N54)</f>
        <v>0</v>
      </c>
      <c r="O55" s="31">
        <f t="shared" si="21"/>
        <v>0</v>
      </c>
      <c r="P55" s="31">
        <f t="shared" si="21"/>
        <v>0</v>
      </c>
      <c r="Q55" s="31">
        <f t="shared" si="21"/>
        <v>0</v>
      </c>
      <c r="R55" s="31">
        <f t="shared" si="21"/>
        <v>0</v>
      </c>
      <c r="S55" s="31">
        <f t="shared" si="21"/>
        <v>0</v>
      </c>
      <c r="T55" s="31">
        <f t="shared" si="21"/>
        <v>0</v>
      </c>
      <c r="U55" s="31">
        <f t="shared" si="21"/>
        <v>0</v>
      </c>
      <c r="V55" s="31">
        <f t="shared" si="21"/>
        <v>0</v>
      </c>
      <c r="W55" s="31">
        <f t="shared" si="21"/>
        <v>0</v>
      </c>
      <c r="X55" s="31">
        <f t="shared" si="21"/>
        <v>0</v>
      </c>
      <c r="Y55" s="31">
        <f t="shared" si="21"/>
        <v>0</v>
      </c>
      <c r="Z55" s="31">
        <f t="shared" si="21"/>
        <v>0</v>
      </c>
      <c r="AA55" s="31">
        <f t="shared" si="21"/>
        <v>0</v>
      </c>
      <c r="AB55" s="31">
        <f t="shared" si="21"/>
        <v>0</v>
      </c>
      <c r="AC55" s="31">
        <f t="shared" si="21"/>
        <v>560</v>
      </c>
      <c r="AD55" s="306">
        <f t="shared" si="1"/>
        <v>0</v>
      </c>
      <c r="AE55" s="25">
        <f t="shared" si="2"/>
        <v>5976</v>
      </c>
    </row>
    <row r="56" spans="1:31" ht="32.25" customHeight="1">
      <c r="A56" s="28">
        <v>52</v>
      </c>
      <c r="B56" s="239"/>
      <c r="C56" s="179" t="s">
        <v>743</v>
      </c>
      <c r="D56" s="25">
        <f>D55+D50+D44+D40+D37+D36+D32+D20+D13</f>
        <v>5185</v>
      </c>
      <c r="E56" s="25">
        <f aca="true" t="shared" si="22" ref="E56:J56">E55+E50+E44+E40+E37+E36+E32+E20+E13</f>
        <v>186031</v>
      </c>
      <c r="F56" s="25">
        <f t="shared" si="22"/>
        <v>5782</v>
      </c>
      <c r="G56" s="25">
        <f t="shared" si="22"/>
        <v>136637.88</v>
      </c>
      <c r="H56" s="25">
        <f t="shared" si="22"/>
        <v>0</v>
      </c>
      <c r="I56" s="25">
        <f t="shared" si="22"/>
        <v>11124</v>
      </c>
      <c r="J56" s="25">
        <f t="shared" si="22"/>
        <v>2992</v>
      </c>
      <c r="K56" s="25">
        <v>0</v>
      </c>
      <c r="L56" s="306">
        <f t="shared" si="13"/>
        <v>347751.88</v>
      </c>
      <c r="M56" s="31">
        <f>M55+M50+M44+M40+M37+M36+M32+M20+M13</f>
        <v>6</v>
      </c>
      <c r="N56" s="31">
        <f aca="true" t="shared" si="23" ref="N56:AA56">N55+N50+N44+N40+N37+N36+N32+N20+N13</f>
        <v>7209</v>
      </c>
      <c r="O56" s="31">
        <f t="shared" si="23"/>
        <v>4445</v>
      </c>
      <c r="P56" s="31">
        <f t="shared" si="23"/>
        <v>1668</v>
      </c>
      <c r="Q56" s="31">
        <f t="shared" si="23"/>
        <v>7558</v>
      </c>
      <c r="R56" s="31">
        <f t="shared" si="23"/>
        <v>4477</v>
      </c>
      <c r="S56" s="31">
        <f t="shared" si="23"/>
        <v>5243</v>
      </c>
      <c r="T56" s="31">
        <f t="shared" si="23"/>
        <v>3200</v>
      </c>
      <c r="U56" s="31">
        <f t="shared" si="23"/>
        <v>13062</v>
      </c>
      <c r="V56" s="31">
        <f t="shared" si="23"/>
        <v>0</v>
      </c>
      <c r="W56" s="31">
        <f t="shared" si="23"/>
        <v>2576</v>
      </c>
      <c r="X56" s="31">
        <f t="shared" si="23"/>
        <v>9551</v>
      </c>
      <c r="Y56" s="31">
        <f t="shared" si="23"/>
        <v>2238</v>
      </c>
      <c r="Z56" s="31">
        <f t="shared" si="23"/>
        <v>450</v>
      </c>
      <c r="AA56" s="31">
        <f t="shared" si="23"/>
        <v>1480</v>
      </c>
      <c r="AB56" s="31">
        <f>AB55+AB50+AB44+AB40+AB37+AB36+AB32+AB20+AB13</f>
        <v>185</v>
      </c>
      <c r="AC56" s="31">
        <f>AC55+AC50+AC44+AC40+AC37+AC36+AC32+AC20+AC13</f>
        <v>5463</v>
      </c>
      <c r="AD56" s="306">
        <f t="shared" si="1"/>
        <v>63342</v>
      </c>
      <c r="AE56" s="25">
        <f t="shared" si="2"/>
        <v>411099.88</v>
      </c>
    </row>
    <row r="57" spans="1:31" ht="18" customHeight="1">
      <c r="A57" s="28">
        <v>53</v>
      </c>
      <c r="B57" s="238" t="s">
        <v>750</v>
      </c>
      <c r="C57" s="180" t="s">
        <v>629</v>
      </c>
      <c r="G57" s="25">
        <v>5000</v>
      </c>
      <c r="L57" s="306">
        <f t="shared" si="13"/>
        <v>5000</v>
      </c>
      <c r="AD57" s="306">
        <f t="shared" si="1"/>
        <v>0</v>
      </c>
      <c r="AE57" s="25">
        <f t="shared" si="2"/>
        <v>5000</v>
      </c>
    </row>
    <row r="58" spans="1:31" s="26" customFormat="1" ht="19.5" customHeight="1">
      <c r="A58" s="29">
        <v>54</v>
      </c>
      <c r="B58" s="238" t="s">
        <v>751</v>
      </c>
      <c r="C58" s="180" t="s">
        <v>752</v>
      </c>
      <c r="D58" s="31"/>
      <c r="E58" s="31"/>
      <c r="F58" s="31"/>
      <c r="G58" s="31"/>
      <c r="H58" s="31"/>
      <c r="I58" s="31"/>
      <c r="J58" s="31"/>
      <c r="K58" s="31"/>
      <c r="L58" s="306">
        <f t="shared" si="13"/>
        <v>0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06">
        <f t="shared" si="1"/>
        <v>0</v>
      </c>
      <c r="AE58" s="25">
        <f t="shared" si="2"/>
        <v>0</v>
      </c>
    </row>
    <row r="59" spans="1:31" ht="17.25" customHeight="1">
      <c r="A59" s="28">
        <v>55</v>
      </c>
      <c r="B59" s="238" t="s">
        <v>753</v>
      </c>
      <c r="C59" s="180" t="s">
        <v>754</v>
      </c>
      <c r="D59" s="25">
        <v>2992</v>
      </c>
      <c r="L59" s="306">
        <f t="shared" si="13"/>
        <v>2992</v>
      </c>
      <c r="AD59" s="306">
        <f t="shared" si="1"/>
        <v>0</v>
      </c>
      <c r="AE59" s="25">
        <f t="shared" si="2"/>
        <v>2992</v>
      </c>
    </row>
    <row r="60" spans="1:31" ht="22.5" customHeight="1">
      <c r="A60" s="28">
        <v>56</v>
      </c>
      <c r="B60" s="213"/>
      <c r="C60" s="179" t="s">
        <v>755</v>
      </c>
      <c r="D60" s="25">
        <f>SUM(D57:D59)</f>
        <v>2992</v>
      </c>
      <c r="E60" s="25">
        <f aca="true" t="shared" si="24" ref="E60:J60">SUM(E57:E59)</f>
        <v>0</v>
      </c>
      <c r="F60" s="25">
        <f t="shared" si="24"/>
        <v>0</v>
      </c>
      <c r="G60" s="25">
        <f t="shared" si="24"/>
        <v>5000</v>
      </c>
      <c r="H60" s="25">
        <f t="shared" si="24"/>
        <v>0</v>
      </c>
      <c r="I60" s="25">
        <f t="shared" si="24"/>
        <v>0</v>
      </c>
      <c r="J60" s="25">
        <f t="shared" si="24"/>
        <v>0</v>
      </c>
      <c r="K60" s="25">
        <v>0</v>
      </c>
      <c r="L60" s="306">
        <f t="shared" si="13"/>
        <v>7992</v>
      </c>
      <c r="M60" s="31">
        <f>SUM(M57:M59)</f>
        <v>0</v>
      </c>
      <c r="N60" s="31">
        <f aca="true" t="shared" si="25" ref="N60:AB60">SUM(N57:N59)</f>
        <v>0</v>
      </c>
      <c r="O60" s="31">
        <f t="shared" si="25"/>
        <v>0</v>
      </c>
      <c r="P60" s="31">
        <f t="shared" si="25"/>
        <v>0</v>
      </c>
      <c r="Q60" s="31">
        <f t="shared" si="25"/>
        <v>0</v>
      </c>
      <c r="R60" s="31">
        <f t="shared" si="25"/>
        <v>0</v>
      </c>
      <c r="S60" s="31">
        <f t="shared" si="25"/>
        <v>0</v>
      </c>
      <c r="T60" s="31">
        <f t="shared" si="25"/>
        <v>0</v>
      </c>
      <c r="U60" s="31">
        <f t="shared" si="25"/>
        <v>0</v>
      </c>
      <c r="V60" s="31">
        <f t="shared" si="25"/>
        <v>0</v>
      </c>
      <c r="W60" s="31">
        <f t="shared" si="25"/>
        <v>0</v>
      </c>
      <c r="X60" s="31">
        <f t="shared" si="25"/>
        <v>0</v>
      </c>
      <c r="Y60" s="31">
        <f t="shared" si="25"/>
        <v>0</v>
      </c>
      <c r="Z60" s="31">
        <f t="shared" si="25"/>
        <v>0</v>
      </c>
      <c r="AA60" s="31">
        <f t="shared" si="25"/>
        <v>0</v>
      </c>
      <c r="AB60" s="31">
        <f t="shared" si="25"/>
        <v>0</v>
      </c>
      <c r="AC60" s="31"/>
      <c r="AD60" s="306">
        <f t="shared" si="1"/>
        <v>0</v>
      </c>
      <c r="AE60" s="25">
        <f t="shared" si="2"/>
        <v>7992</v>
      </c>
    </row>
    <row r="61" spans="1:31" ht="12.75">
      <c r="A61" s="28">
        <v>57</v>
      </c>
      <c r="B61" s="238" t="s">
        <v>756</v>
      </c>
      <c r="C61" s="180" t="s">
        <v>757</v>
      </c>
      <c r="G61" s="25">
        <f>'[4]841901_018010'!$E$47</f>
        <v>520</v>
      </c>
      <c r="H61" s="25">
        <f>'[4]889942_106020'!$E$49</f>
        <v>450</v>
      </c>
      <c r="K61" s="25">
        <v>1400</v>
      </c>
      <c r="L61" s="306">
        <f>SUM(D61:K61)</f>
        <v>2370</v>
      </c>
      <c r="AD61" s="306">
        <f t="shared" si="1"/>
        <v>0</v>
      </c>
      <c r="AE61" s="25">
        <f t="shared" si="2"/>
        <v>2370</v>
      </c>
    </row>
    <row r="62" spans="1:31" ht="12.75">
      <c r="A62" s="29">
        <v>58</v>
      </c>
      <c r="B62" s="210"/>
      <c r="C62" s="180" t="s">
        <v>758</v>
      </c>
      <c r="L62" s="306">
        <f>SUM(D62:J62)</f>
        <v>0</v>
      </c>
      <c r="AD62" s="306">
        <f t="shared" si="1"/>
        <v>0</v>
      </c>
      <c r="AE62" s="25">
        <f t="shared" si="2"/>
        <v>0</v>
      </c>
    </row>
    <row r="63" spans="1:31" ht="18" customHeight="1">
      <c r="A63" s="28">
        <v>59</v>
      </c>
      <c r="B63" s="210">
        <v>272</v>
      </c>
      <c r="C63" s="180" t="s">
        <v>759</v>
      </c>
      <c r="L63" s="306">
        <f>SUM(D63:J63)</f>
        <v>0</v>
      </c>
      <c r="AD63" s="306">
        <f t="shared" si="1"/>
        <v>0</v>
      </c>
      <c r="AE63" s="25">
        <f t="shared" si="2"/>
        <v>0</v>
      </c>
    </row>
    <row r="64" spans="1:31" ht="12.75">
      <c r="A64" s="28">
        <v>60</v>
      </c>
      <c r="B64" s="213">
        <v>276</v>
      </c>
      <c r="C64" s="179" t="s">
        <v>760</v>
      </c>
      <c r="D64" s="25">
        <f>SUM(D61:D63)</f>
        <v>0</v>
      </c>
      <c r="E64" s="25">
        <f aca="true" t="shared" si="26" ref="E64:J64">SUM(E61:E63)</f>
        <v>0</v>
      </c>
      <c r="F64" s="25">
        <f t="shared" si="26"/>
        <v>0</v>
      </c>
      <c r="G64" s="25">
        <f t="shared" si="26"/>
        <v>520</v>
      </c>
      <c r="H64" s="25">
        <f t="shared" si="26"/>
        <v>450</v>
      </c>
      <c r="I64" s="25">
        <f t="shared" si="26"/>
        <v>0</v>
      </c>
      <c r="J64" s="25">
        <f t="shared" si="26"/>
        <v>0</v>
      </c>
      <c r="K64" s="25">
        <f>K61</f>
        <v>1400</v>
      </c>
      <c r="L64" s="306">
        <f>SUM(D64:K64)</f>
        <v>2370</v>
      </c>
      <c r="M64" s="31">
        <f>SUM(M61:M63)</f>
        <v>0</v>
      </c>
      <c r="N64" s="31">
        <f aca="true" t="shared" si="27" ref="N64:AB64">SUM(N61:N63)</f>
        <v>0</v>
      </c>
      <c r="O64" s="31">
        <f t="shared" si="27"/>
        <v>0</v>
      </c>
      <c r="P64" s="31">
        <f t="shared" si="27"/>
        <v>0</v>
      </c>
      <c r="Q64" s="31">
        <f t="shared" si="27"/>
        <v>0</v>
      </c>
      <c r="R64" s="31">
        <f t="shared" si="27"/>
        <v>0</v>
      </c>
      <c r="S64" s="31">
        <f t="shared" si="27"/>
        <v>0</v>
      </c>
      <c r="T64" s="31">
        <f t="shared" si="27"/>
        <v>0</v>
      </c>
      <c r="U64" s="31">
        <f t="shared" si="27"/>
        <v>0</v>
      </c>
      <c r="V64" s="31">
        <f t="shared" si="27"/>
        <v>0</v>
      </c>
      <c r="W64" s="31">
        <f t="shared" si="27"/>
        <v>0</v>
      </c>
      <c r="X64" s="31">
        <f t="shared" si="27"/>
        <v>0</v>
      </c>
      <c r="Y64" s="31">
        <f t="shared" si="27"/>
        <v>0</v>
      </c>
      <c r="Z64" s="31">
        <f t="shared" si="27"/>
        <v>0</v>
      </c>
      <c r="AA64" s="31">
        <f t="shared" si="27"/>
        <v>0</v>
      </c>
      <c r="AB64" s="31">
        <f t="shared" si="27"/>
        <v>0</v>
      </c>
      <c r="AC64" s="31"/>
      <c r="AD64" s="306">
        <f t="shared" si="1"/>
        <v>0</v>
      </c>
      <c r="AE64" s="25">
        <f t="shared" si="2"/>
        <v>2370</v>
      </c>
    </row>
    <row r="65" spans="1:31" ht="24.75" customHeight="1">
      <c r="A65" s="28">
        <v>61</v>
      </c>
      <c r="B65" s="242"/>
      <c r="C65" s="183" t="s">
        <v>761</v>
      </c>
      <c r="D65" s="25">
        <f>D64+D60</f>
        <v>2992</v>
      </c>
      <c r="E65" s="25">
        <f aca="true" t="shared" si="28" ref="E65:J65">E64+E60</f>
        <v>0</v>
      </c>
      <c r="F65" s="25">
        <f t="shared" si="28"/>
        <v>0</v>
      </c>
      <c r="G65" s="25">
        <f t="shared" si="28"/>
        <v>5520</v>
      </c>
      <c r="H65" s="25">
        <f t="shared" si="28"/>
        <v>450</v>
      </c>
      <c r="I65" s="25">
        <f t="shared" si="28"/>
        <v>0</v>
      </c>
      <c r="J65" s="25">
        <f t="shared" si="28"/>
        <v>0</v>
      </c>
      <c r="K65" s="25">
        <f>K61</f>
        <v>1400</v>
      </c>
      <c r="L65" s="306">
        <f>SUM(D65:J65)</f>
        <v>8962</v>
      </c>
      <c r="M65" s="31">
        <f>M64+M60</f>
        <v>0</v>
      </c>
      <c r="N65" s="31">
        <f aca="true" t="shared" si="29" ref="N65:AB65">N64+N60</f>
        <v>0</v>
      </c>
      <c r="O65" s="31">
        <f t="shared" si="29"/>
        <v>0</v>
      </c>
      <c r="P65" s="31">
        <f t="shared" si="29"/>
        <v>0</v>
      </c>
      <c r="Q65" s="31">
        <f t="shared" si="29"/>
        <v>0</v>
      </c>
      <c r="R65" s="31">
        <f t="shared" si="29"/>
        <v>0</v>
      </c>
      <c r="S65" s="31">
        <f t="shared" si="29"/>
        <v>0</v>
      </c>
      <c r="T65" s="31">
        <f t="shared" si="29"/>
        <v>0</v>
      </c>
      <c r="U65" s="31">
        <f t="shared" si="29"/>
        <v>0</v>
      </c>
      <c r="V65" s="31">
        <f t="shared" si="29"/>
        <v>0</v>
      </c>
      <c r="W65" s="31">
        <f t="shared" si="29"/>
        <v>0</v>
      </c>
      <c r="X65" s="31">
        <f t="shared" si="29"/>
        <v>0</v>
      </c>
      <c r="Y65" s="31">
        <f t="shared" si="29"/>
        <v>0</v>
      </c>
      <c r="Z65" s="31">
        <f t="shared" si="29"/>
        <v>0</v>
      </c>
      <c r="AA65" s="31">
        <f t="shared" si="29"/>
        <v>0</v>
      </c>
      <c r="AB65" s="31">
        <f t="shared" si="29"/>
        <v>0</v>
      </c>
      <c r="AC65" s="31"/>
      <c r="AD65" s="306">
        <f t="shared" si="1"/>
        <v>0</v>
      </c>
      <c r="AE65" s="25">
        <f t="shared" si="2"/>
        <v>8962</v>
      </c>
    </row>
    <row r="66" spans="1:31" ht="30" customHeight="1">
      <c r="A66" s="29">
        <v>62</v>
      </c>
      <c r="B66" s="243" t="s">
        <v>762</v>
      </c>
      <c r="C66" s="183" t="s">
        <v>763</v>
      </c>
      <c r="D66" s="25">
        <v>88832</v>
      </c>
      <c r="L66" s="306">
        <f>SUM(D66:J66)</f>
        <v>88832</v>
      </c>
      <c r="M66" s="31">
        <v>2117</v>
      </c>
      <c r="V66" s="25">
        <v>24096</v>
      </c>
      <c r="AD66" s="306">
        <f t="shared" si="1"/>
        <v>24096</v>
      </c>
      <c r="AE66" s="25">
        <f t="shared" si="2"/>
        <v>115045</v>
      </c>
    </row>
    <row r="67" spans="1:32" s="26" customFormat="1" ht="41.25" customHeight="1">
      <c r="A67" s="28">
        <v>63</v>
      </c>
      <c r="B67" s="213">
        <v>277</v>
      </c>
      <c r="C67" s="179" t="s">
        <v>764</v>
      </c>
      <c r="D67" s="31">
        <f>D66+D65+D56</f>
        <v>97009</v>
      </c>
      <c r="E67" s="31">
        <f aca="true" t="shared" si="30" ref="E67:J67">E66+E65+E56</f>
        <v>186031</v>
      </c>
      <c r="F67" s="31">
        <f t="shared" si="30"/>
        <v>5782</v>
      </c>
      <c r="G67" s="31">
        <f t="shared" si="30"/>
        <v>142157.88</v>
      </c>
      <c r="H67" s="31">
        <f t="shared" si="30"/>
        <v>450</v>
      </c>
      <c r="I67" s="31">
        <f t="shared" si="30"/>
        <v>11124</v>
      </c>
      <c r="J67" s="31">
        <f t="shared" si="30"/>
        <v>2992</v>
      </c>
      <c r="K67" s="31">
        <f>K65</f>
        <v>1400</v>
      </c>
      <c r="L67" s="306">
        <f>SUM(D67:K67)</f>
        <v>446945.88</v>
      </c>
      <c r="M67" s="31">
        <f>M66+M65+M56</f>
        <v>2123</v>
      </c>
      <c r="N67" s="31">
        <f aca="true" t="shared" si="31" ref="N67:AC67">N66+N65+N56</f>
        <v>7209</v>
      </c>
      <c r="O67" s="31">
        <f t="shared" si="31"/>
        <v>4445</v>
      </c>
      <c r="P67" s="31">
        <f t="shared" si="31"/>
        <v>1668</v>
      </c>
      <c r="Q67" s="31">
        <f t="shared" si="31"/>
        <v>7558</v>
      </c>
      <c r="R67" s="31">
        <f t="shared" si="31"/>
        <v>4477</v>
      </c>
      <c r="S67" s="31">
        <f t="shared" si="31"/>
        <v>5243</v>
      </c>
      <c r="T67" s="31">
        <f t="shared" si="31"/>
        <v>3200</v>
      </c>
      <c r="U67" s="31">
        <f t="shared" si="31"/>
        <v>13062</v>
      </c>
      <c r="V67" s="31">
        <f t="shared" si="31"/>
        <v>24096</v>
      </c>
      <c r="W67" s="31">
        <f t="shared" si="31"/>
        <v>2576</v>
      </c>
      <c r="X67" s="31">
        <f t="shared" si="31"/>
        <v>9551</v>
      </c>
      <c r="Y67" s="31">
        <f t="shared" si="31"/>
        <v>2238</v>
      </c>
      <c r="Z67" s="31">
        <f t="shared" si="31"/>
        <v>450</v>
      </c>
      <c r="AA67" s="31">
        <f t="shared" si="31"/>
        <v>1480</v>
      </c>
      <c r="AB67" s="31">
        <f t="shared" si="31"/>
        <v>185</v>
      </c>
      <c r="AC67" s="31">
        <f t="shared" si="31"/>
        <v>5463</v>
      </c>
      <c r="AD67" s="306">
        <f>SUM(N67:AC67)</f>
        <v>92901</v>
      </c>
      <c r="AE67" s="25">
        <f t="shared" si="2"/>
        <v>541969.88</v>
      </c>
      <c r="AF67" s="26">
        <f>SUM(AD20+AD36+AD40+AD44+AD50+AD66+AD37)</f>
        <v>87438</v>
      </c>
    </row>
    <row r="68" spans="1:31" s="26" customFormat="1" ht="12.75">
      <c r="A68" s="28"/>
      <c r="B68" s="28"/>
      <c r="D68" s="31"/>
      <c r="E68" s="31"/>
      <c r="F68" s="31"/>
      <c r="G68" s="31"/>
      <c r="H68" s="31"/>
      <c r="I68" s="31"/>
      <c r="J68" s="31"/>
      <c r="K68" s="31"/>
      <c r="L68" s="306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 t="s">
        <v>789</v>
      </c>
      <c r="AD68" s="306">
        <v>92901</v>
      </c>
      <c r="AE68" s="25"/>
    </row>
    <row r="69" spans="1:31" s="26" customFormat="1" ht="12.75">
      <c r="A69" s="28"/>
      <c r="B69" s="28"/>
      <c r="D69" s="31"/>
      <c r="E69" s="31"/>
      <c r="F69" s="31"/>
      <c r="G69" s="31"/>
      <c r="H69" s="31"/>
      <c r="I69" s="31"/>
      <c r="J69" s="31"/>
      <c r="K69" s="31"/>
      <c r="L69" s="306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06"/>
      <c r="AE69" s="25"/>
    </row>
    <row r="70" spans="1:2" ht="12.75">
      <c r="A70" s="29"/>
      <c r="B70" s="29"/>
    </row>
    <row r="71" spans="1:31" s="26" customFormat="1" ht="12.75">
      <c r="A71" s="28"/>
      <c r="B71" s="28"/>
      <c r="D71" s="31"/>
      <c r="E71" s="31"/>
      <c r="F71" s="31"/>
      <c r="G71" s="31"/>
      <c r="H71" s="31"/>
      <c r="I71" s="31"/>
      <c r="J71" s="31"/>
      <c r="K71" s="31"/>
      <c r="L71" s="306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06"/>
      <c r="AE71" s="25"/>
    </row>
    <row r="72" ht="12.75"/>
    <row r="73" ht="12.75"/>
    <row r="80" spans="3:30" ht="12.75">
      <c r="C80" s="26"/>
      <c r="D80" s="31"/>
      <c r="E80" s="31"/>
      <c r="F80" s="31"/>
      <c r="G80" s="31"/>
      <c r="H80" s="31"/>
      <c r="I80" s="31"/>
      <c r="J80" s="31"/>
      <c r="K80" s="31"/>
      <c r="N80" s="31"/>
      <c r="O80" s="31"/>
      <c r="P80" s="31"/>
      <c r="Q80" s="31"/>
      <c r="R80" s="31"/>
      <c r="S80" s="31"/>
      <c r="T80" s="31"/>
      <c r="U80" s="31"/>
      <c r="AD80" s="310"/>
    </row>
    <row r="81" spans="3:30" ht="12.75">
      <c r="C81" s="26"/>
      <c r="D81" s="31"/>
      <c r="E81" s="31"/>
      <c r="F81" s="31"/>
      <c r="G81" s="31"/>
      <c r="H81" s="31"/>
      <c r="I81" s="31"/>
      <c r="J81" s="31"/>
      <c r="K81" s="31"/>
      <c r="N81" s="31"/>
      <c r="O81" s="31"/>
      <c r="P81" s="31"/>
      <c r="Q81" s="31"/>
      <c r="R81" s="31"/>
      <c r="S81" s="31"/>
      <c r="T81" s="31"/>
      <c r="U81" s="31"/>
      <c r="AD81" s="310"/>
    </row>
    <row r="82" spans="3:30" ht="12.75">
      <c r="C82" s="26"/>
      <c r="D82" s="31"/>
      <c r="E82" s="31"/>
      <c r="F82" s="31"/>
      <c r="G82" s="31"/>
      <c r="H82" s="31"/>
      <c r="I82" s="31"/>
      <c r="J82" s="31"/>
      <c r="K82" s="31"/>
      <c r="N82" s="31"/>
      <c r="O82" s="31"/>
      <c r="P82" s="31"/>
      <c r="Q82" s="31"/>
      <c r="R82" s="31"/>
      <c r="S82" s="31"/>
      <c r="T82" s="31"/>
      <c r="U82" s="31"/>
      <c r="AD82" s="310"/>
    </row>
    <row r="83" spans="3:30" ht="12.75">
      <c r="C83" s="26"/>
      <c r="D83" s="31"/>
      <c r="E83" s="31"/>
      <c r="F83" s="31"/>
      <c r="G83" s="31"/>
      <c r="H83" s="31"/>
      <c r="I83" s="31"/>
      <c r="J83" s="31"/>
      <c r="K83" s="31"/>
      <c r="N83" s="31"/>
      <c r="O83" s="31"/>
      <c r="P83" s="31"/>
      <c r="Q83" s="31"/>
      <c r="R83" s="31"/>
      <c r="S83" s="31"/>
      <c r="T83" s="31"/>
      <c r="U83" s="31"/>
      <c r="AD83" s="310"/>
    </row>
    <row r="84" spans="3:30" ht="12.75">
      <c r="C84" s="26"/>
      <c r="D84" s="31"/>
      <c r="E84" s="31"/>
      <c r="F84" s="31"/>
      <c r="G84" s="31"/>
      <c r="H84" s="31"/>
      <c r="I84" s="31"/>
      <c r="J84" s="31"/>
      <c r="K84" s="31"/>
      <c r="N84" s="31"/>
      <c r="O84" s="31"/>
      <c r="P84" s="31"/>
      <c r="Q84" s="31"/>
      <c r="R84" s="31"/>
      <c r="S84" s="31"/>
      <c r="T84" s="31"/>
      <c r="U84" s="31"/>
      <c r="AD84" s="310"/>
    </row>
    <row r="85" spans="3:30" ht="12.75">
      <c r="C85" s="26"/>
      <c r="D85" s="31"/>
      <c r="E85" s="31"/>
      <c r="F85" s="31"/>
      <c r="G85" s="31"/>
      <c r="H85" s="31"/>
      <c r="I85" s="31"/>
      <c r="J85" s="31"/>
      <c r="K85" s="31"/>
      <c r="N85" s="31"/>
      <c r="O85" s="31"/>
      <c r="P85" s="31"/>
      <c r="Q85" s="31"/>
      <c r="R85" s="31"/>
      <c r="S85" s="31"/>
      <c r="T85" s="31"/>
      <c r="U85" s="31"/>
      <c r="AD85" s="310"/>
    </row>
    <row r="86" spans="3:30" ht="12.75">
      <c r="C86" s="26"/>
      <c r="D86" s="31"/>
      <c r="E86" s="31"/>
      <c r="F86" s="31"/>
      <c r="G86" s="31"/>
      <c r="H86" s="31"/>
      <c r="I86" s="31"/>
      <c r="J86" s="31"/>
      <c r="K86" s="31"/>
      <c r="N86" s="31"/>
      <c r="O86" s="31"/>
      <c r="P86" s="31"/>
      <c r="Q86" s="31"/>
      <c r="R86" s="31"/>
      <c r="S86" s="31"/>
      <c r="T86" s="31"/>
      <c r="U86" s="31"/>
      <c r="AD86" s="310"/>
    </row>
    <row r="87" spans="3:30" ht="12.75">
      <c r="C87" s="26"/>
      <c r="D87" s="31"/>
      <c r="E87" s="31"/>
      <c r="F87" s="31"/>
      <c r="G87" s="31"/>
      <c r="H87" s="31"/>
      <c r="I87" s="31"/>
      <c r="J87" s="31"/>
      <c r="K87" s="31"/>
      <c r="N87" s="31"/>
      <c r="O87" s="31"/>
      <c r="P87" s="31"/>
      <c r="Q87" s="31"/>
      <c r="R87" s="31"/>
      <c r="S87" s="31"/>
      <c r="T87" s="31"/>
      <c r="U87" s="31"/>
      <c r="AD87" s="310"/>
    </row>
    <row r="88" spans="3:30" ht="12.75">
      <c r="C88" s="26"/>
      <c r="D88" s="31"/>
      <c r="E88" s="31"/>
      <c r="F88" s="31"/>
      <c r="G88" s="31"/>
      <c r="H88" s="31"/>
      <c r="I88" s="31"/>
      <c r="J88" s="31"/>
      <c r="K88" s="31"/>
      <c r="N88" s="31"/>
      <c r="O88" s="31"/>
      <c r="P88" s="31"/>
      <c r="Q88" s="31"/>
      <c r="R88" s="31"/>
      <c r="S88" s="31"/>
      <c r="T88" s="31"/>
      <c r="U88" s="31"/>
      <c r="AD88" s="310"/>
    </row>
    <row r="89" spans="3:30" ht="12.75">
      <c r="C89" s="26"/>
      <c r="D89" s="31"/>
      <c r="E89" s="31"/>
      <c r="F89" s="31"/>
      <c r="G89" s="31"/>
      <c r="H89" s="31"/>
      <c r="I89" s="31"/>
      <c r="J89" s="31"/>
      <c r="K89" s="31"/>
      <c r="N89" s="31"/>
      <c r="O89" s="31"/>
      <c r="P89" s="31"/>
      <c r="Q89" s="31"/>
      <c r="R89" s="31"/>
      <c r="S89" s="31"/>
      <c r="T89" s="31"/>
      <c r="U89" s="31"/>
      <c r="AD89" s="310"/>
    </row>
    <row r="90" spans="3:30" ht="12.75">
      <c r="C90" s="26"/>
      <c r="D90" s="31"/>
      <c r="E90" s="31"/>
      <c r="F90" s="31"/>
      <c r="G90" s="31"/>
      <c r="H90" s="31"/>
      <c r="I90" s="31"/>
      <c r="J90" s="31"/>
      <c r="K90" s="31"/>
      <c r="N90" s="31"/>
      <c r="O90" s="31"/>
      <c r="P90" s="31"/>
      <c r="Q90" s="31"/>
      <c r="R90" s="31"/>
      <c r="S90" s="31"/>
      <c r="T90" s="31"/>
      <c r="U90" s="31"/>
      <c r="AD90" s="310"/>
    </row>
    <row r="91" spans="3:30" ht="12.75">
      <c r="C91" s="26"/>
      <c r="D91" s="31"/>
      <c r="E91" s="31"/>
      <c r="F91" s="31"/>
      <c r="G91" s="31"/>
      <c r="H91" s="31"/>
      <c r="I91" s="31"/>
      <c r="J91" s="31"/>
      <c r="K91" s="31"/>
      <c r="N91" s="31"/>
      <c r="O91" s="31"/>
      <c r="P91" s="31"/>
      <c r="Q91" s="31"/>
      <c r="R91" s="31"/>
      <c r="S91" s="31"/>
      <c r="T91" s="31"/>
      <c r="U91" s="31"/>
      <c r="AD91" s="310"/>
    </row>
    <row r="92" spans="3:30" ht="12.75">
      <c r="C92" s="26"/>
      <c r="D92" s="31"/>
      <c r="E92" s="31"/>
      <c r="F92" s="31"/>
      <c r="G92" s="31"/>
      <c r="H92" s="31"/>
      <c r="I92" s="31"/>
      <c r="J92" s="31"/>
      <c r="K92" s="31"/>
      <c r="N92" s="31"/>
      <c r="O92" s="31"/>
      <c r="P92" s="31"/>
      <c r="Q92" s="31"/>
      <c r="R92" s="31"/>
      <c r="S92" s="31"/>
      <c r="T92" s="31"/>
      <c r="U92" s="31"/>
      <c r="AD92" s="310"/>
    </row>
    <row r="93" spans="3:30" ht="12.75">
      <c r="C93" s="26"/>
      <c r="D93" s="31"/>
      <c r="E93" s="31"/>
      <c r="F93" s="31"/>
      <c r="G93" s="31"/>
      <c r="H93" s="31"/>
      <c r="I93" s="31"/>
      <c r="J93" s="31"/>
      <c r="K93" s="31"/>
      <c r="N93" s="31"/>
      <c r="O93" s="31"/>
      <c r="P93" s="31"/>
      <c r="Q93" s="31"/>
      <c r="R93" s="31"/>
      <c r="S93" s="31"/>
      <c r="T93" s="31"/>
      <c r="U93" s="31"/>
      <c r="AD93" s="310"/>
    </row>
    <row r="94" spans="3:30" ht="12.75">
      <c r="C94" s="26"/>
      <c r="D94" s="31"/>
      <c r="E94" s="31"/>
      <c r="F94" s="31"/>
      <c r="G94" s="31"/>
      <c r="H94" s="31"/>
      <c r="I94" s="31"/>
      <c r="J94" s="31"/>
      <c r="K94" s="31"/>
      <c r="N94" s="31"/>
      <c r="O94" s="31"/>
      <c r="P94" s="31"/>
      <c r="Q94" s="31"/>
      <c r="R94" s="31"/>
      <c r="S94" s="31"/>
      <c r="T94" s="31"/>
      <c r="U94" s="31"/>
      <c r="AD94" s="310"/>
    </row>
    <row r="95" spans="3:30" ht="12.75">
      <c r="C95" s="26"/>
      <c r="D95" s="31"/>
      <c r="E95" s="31"/>
      <c r="F95" s="31"/>
      <c r="G95" s="31"/>
      <c r="H95" s="31"/>
      <c r="I95" s="31"/>
      <c r="J95" s="31"/>
      <c r="K95" s="31"/>
      <c r="N95" s="31"/>
      <c r="O95" s="31"/>
      <c r="P95" s="31"/>
      <c r="Q95" s="31"/>
      <c r="R95" s="31"/>
      <c r="S95" s="31"/>
      <c r="T95" s="31"/>
      <c r="U95" s="31"/>
      <c r="AD95" s="310"/>
    </row>
    <row r="96" spans="3:30" ht="12.75">
      <c r="C96" s="26"/>
      <c r="D96" s="31"/>
      <c r="E96" s="31"/>
      <c r="F96" s="31"/>
      <c r="G96" s="31"/>
      <c r="H96" s="31"/>
      <c r="I96" s="31"/>
      <c r="J96" s="31"/>
      <c r="K96" s="31"/>
      <c r="N96" s="31"/>
      <c r="O96" s="31"/>
      <c r="P96" s="31"/>
      <c r="Q96" s="31"/>
      <c r="R96" s="31"/>
      <c r="S96" s="31"/>
      <c r="T96" s="31"/>
      <c r="U96" s="31"/>
      <c r="AD96" s="310"/>
    </row>
    <row r="97" spans="3:30" ht="12.75">
      <c r="C97" s="26"/>
      <c r="D97" s="31"/>
      <c r="E97" s="31"/>
      <c r="F97" s="31"/>
      <c r="G97" s="31"/>
      <c r="H97" s="31"/>
      <c r="I97" s="31"/>
      <c r="J97" s="31"/>
      <c r="K97" s="31"/>
      <c r="N97" s="31"/>
      <c r="O97" s="31"/>
      <c r="P97" s="31"/>
      <c r="Q97" s="31"/>
      <c r="R97" s="31"/>
      <c r="S97" s="31"/>
      <c r="T97" s="31"/>
      <c r="U97" s="31"/>
      <c r="AD97" s="310"/>
    </row>
    <row r="98" spans="3:30" ht="12.75">
      <c r="C98" s="26"/>
      <c r="D98" s="31"/>
      <c r="E98" s="31"/>
      <c r="F98" s="31"/>
      <c r="G98" s="31"/>
      <c r="H98" s="31"/>
      <c r="I98" s="31"/>
      <c r="J98" s="31"/>
      <c r="K98" s="31"/>
      <c r="N98" s="31"/>
      <c r="O98" s="31"/>
      <c r="P98" s="31"/>
      <c r="Q98" s="31"/>
      <c r="R98" s="31"/>
      <c r="S98" s="31"/>
      <c r="T98" s="31"/>
      <c r="U98" s="31"/>
      <c r="AD98" s="310"/>
    </row>
    <row r="99" spans="3:30" ht="12.75">
      <c r="C99" s="26"/>
      <c r="D99" s="31"/>
      <c r="E99" s="31"/>
      <c r="F99" s="31"/>
      <c r="G99" s="31"/>
      <c r="H99" s="31"/>
      <c r="I99" s="31"/>
      <c r="J99" s="31"/>
      <c r="K99" s="31"/>
      <c r="N99" s="31"/>
      <c r="O99" s="31"/>
      <c r="P99" s="31"/>
      <c r="Q99" s="31"/>
      <c r="R99" s="31"/>
      <c r="S99" s="31"/>
      <c r="T99" s="31"/>
      <c r="U99" s="31"/>
      <c r="AD99" s="310"/>
    </row>
    <row r="100" spans="3:30" ht="12.75">
      <c r="C100" s="26"/>
      <c r="D100" s="31"/>
      <c r="E100" s="31"/>
      <c r="F100" s="31"/>
      <c r="G100" s="31"/>
      <c r="H100" s="31"/>
      <c r="I100" s="31"/>
      <c r="J100" s="31"/>
      <c r="K100" s="31"/>
      <c r="N100" s="31"/>
      <c r="O100" s="31"/>
      <c r="P100" s="31"/>
      <c r="Q100" s="31"/>
      <c r="R100" s="31"/>
      <c r="S100" s="31"/>
      <c r="T100" s="31"/>
      <c r="U100" s="31"/>
      <c r="AD100" s="310"/>
    </row>
    <row r="101" spans="3:30" ht="12.75">
      <c r="C101" s="26"/>
      <c r="D101" s="31"/>
      <c r="E101" s="31"/>
      <c r="F101" s="31"/>
      <c r="G101" s="31"/>
      <c r="H101" s="31"/>
      <c r="I101" s="31"/>
      <c r="J101" s="31"/>
      <c r="K101" s="31"/>
      <c r="N101" s="31"/>
      <c r="O101" s="31"/>
      <c r="P101" s="31"/>
      <c r="Q101" s="31"/>
      <c r="R101" s="31"/>
      <c r="S101" s="31"/>
      <c r="T101" s="31"/>
      <c r="U101" s="31"/>
      <c r="AD101" s="310"/>
    </row>
    <row r="102" spans="3:30" ht="12.75">
      <c r="C102" s="26"/>
      <c r="D102" s="31"/>
      <c r="E102" s="31"/>
      <c r="F102" s="31"/>
      <c r="G102" s="31"/>
      <c r="H102" s="31"/>
      <c r="I102" s="31"/>
      <c r="J102" s="31"/>
      <c r="K102" s="31"/>
      <c r="N102" s="31"/>
      <c r="O102" s="31"/>
      <c r="P102" s="31"/>
      <c r="Q102" s="31"/>
      <c r="R102" s="31"/>
      <c r="S102" s="31"/>
      <c r="T102" s="31"/>
      <c r="U102" s="31"/>
      <c r="AD102" s="310"/>
    </row>
    <row r="103" spans="3:30" ht="12.75">
      <c r="C103" s="26"/>
      <c r="D103" s="31"/>
      <c r="E103" s="31"/>
      <c r="F103" s="31"/>
      <c r="G103" s="31"/>
      <c r="H103" s="31"/>
      <c r="I103" s="31"/>
      <c r="J103" s="31"/>
      <c r="K103" s="31"/>
      <c r="N103" s="31"/>
      <c r="O103" s="31"/>
      <c r="P103" s="31"/>
      <c r="Q103" s="31"/>
      <c r="R103" s="31"/>
      <c r="S103" s="31"/>
      <c r="T103" s="31"/>
      <c r="U103" s="31"/>
      <c r="AD103" s="310"/>
    </row>
    <row r="104" spans="3:30" ht="12.75">
      <c r="C104" s="26"/>
      <c r="D104" s="31"/>
      <c r="E104" s="31"/>
      <c r="F104" s="31"/>
      <c r="G104" s="31"/>
      <c r="H104" s="31"/>
      <c r="I104" s="31"/>
      <c r="J104" s="31"/>
      <c r="K104" s="31"/>
      <c r="N104" s="31"/>
      <c r="O104" s="31"/>
      <c r="P104" s="31"/>
      <c r="Q104" s="31"/>
      <c r="R104" s="31"/>
      <c r="S104" s="31"/>
      <c r="T104" s="31"/>
      <c r="U104" s="31"/>
      <c r="AD104" s="310"/>
    </row>
    <row r="105" spans="3:30" ht="12.75">
      <c r="C105" s="26"/>
      <c r="D105" s="31"/>
      <c r="E105" s="31"/>
      <c r="F105" s="31"/>
      <c r="G105" s="31"/>
      <c r="H105" s="31"/>
      <c r="I105" s="31"/>
      <c r="J105" s="31"/>
      <c r="K105" s="31"/>
      <c r="N105" s="31"/>
      <c r="O105" s="31"/>
      <c r="P105" s="31"/>
      <c r="Q105" s="31"/>
      <c r="R105" s="31"/>
      <c r="S105" s="31"/>
      <c r="T105" s="31"/>
      <c r="U105" s="31"/>
      <c r="AD105" s="310"/>
    </row>
    <row r="106" spans="3:30" ht="12.75">
      <c r="C106" s="26"/>
      <c r="D106" s="31"/>
      <c r="E106" s="31"/>
      <c r="F106" s="31"/>
      <c r="G106" s="31"/>
      <c r="H106" s="31"/>
      <c r="I106" s="31"/>
      <c r="J106" s="31"/>
      <c r="K106" s="31"/>
      <c r="N106" s="31"/>
      <c r="O106" s="31"/>
      <c r="P106" s="31"/>
      <c r="Q106" s="31"/>
      <c r="R106" s="31"/>
      <c r="S106" s="31"/>
      <c r="T106" s="31"/>
      <c r="U106" s="31"/>
      <c r="AD106" s="310"/>
    </row>
    <row r="107" spans="3:30" ht="12.75">
      <c r="C107" s="26"/>
      <c r="D107" s="31"/>
      <c r="E107" s="31"/>
      <c r="F107" s="31"/>
      <c r="G107" s="31"/>
      <c r="H107" s="31"/>
      <c r="I107" s="31"/>
      <c r="J107" s="31"/>
      <c r="K107" s="31"/>
      <c r="N107" s="31"/>
      <c r="O107" s="31"/>
      <c r="P107" s="31"/>
      <c r="Q107" s="31"/>
      <c r="R107" s="31"/>
      <c r="S107" s="31"/>
      <c r="T107" s="31"/>
      <c r="U107" s="31"/>
      <c r="AD107" s="310"/>
    </row>
    <row r="108" spans="3:30" ht="12.75">
      <c r="C108" s="26"/>
      <c r="D108" s="31"/>
      <c r="E108" s="31"/>
      <c r="F108" s="31"/>
      <c r="G108" s="31"/>
      <c r="H108" s="31"/>
      <c r="I108" s="31"/>
      <c r="J108" s="31"/>
      <c r="K108" s="31"/>
      <c r="N108" s="31"/>
      <c r="O108" s="31"/>
      <c r="P108" s="31"/>
      <c r="Q108" s="31"/>
      <c r="R108" s="31"/>
      <c r="S108" s="31"/>
      <c r="T108" s="31"/>
      <c r="U108" s="31"/>
      <c r="AD108" s="310"/>
    </row>
    <row r="109" spans="3:30" ht="12.75">
      <c r="C109" s="26"/>
      <c r="D109" s="31"/>
      <c r="E109" s="31"/>
      <c r="F109" s="31"/>
      <c r="G109" s="31"/>
      <c r="H109" s="31"/>
      <c r="I109" s="31"/>
      <c r="J109" s="31"/>
      <c r="K109" s="31"/>
      <c r="N109" s="31"/>
      <c r="O109" s="31"/>
      <c r="P109" s="31"/>
      <c r="Q109" s="31"/>
      <c r="R109" s="31"/>
      <c r="S109" s="31"/>
      <c r="T109" s="31"/>
      <c r="U109" s="31"/>
      <c r="AD109" s="310"/>
    </row>
    <row r="110" spans="3:30" ht="12.75">
      <c r="C110" s="26"/>
      <c r="D110" s="31"/>
      <c r="E110" s="31"/>
      <c r="F110" s="31"/>
      <c r="G110" s="31"/>
      <c r="H110" s="31"/>
      <c r="I110" s="31"/>
      <c r="J110" s="31"/>
      <c r="K110" s="31"/>
      <c r="N110" s="31"/>
      <c r="O110" s="31"/>
      <c r="P110" s="31"/>
      <c r="Q110" s="31"/>
      <c r="R110" s="31"/>
      <c r="S110" s="31"/>
      <c r="T110" s="31"/>
      <c r="U110" s="31"/>
      <c r="AD110" s="310"/>
    </row>
    <row r="111" spans="3:30" ht="12.75">
      <c r="C111" s="26"/>
      <c r="D111" s="31"/>
      <c r="E111" s="31"/>
      <c r="F111" s="31"/>
      <c r="G111" s="31"/>
      <c r="H111" s="31"/>
      <c r="I111" s="31"/>
      <c r="J111" s="31"/>
      <c r="K111" s="31"/>
      <c r="N111" s="31"/>
      <c r="O111" s="31"/>
      <c r="P111" s="31"/>
      <c r="Q111" s="31"/>
      <c r="R111" s="31"/>
      <c r="S111" s="31"/>
      <c r="T111" s="31"/>
      <c r="U111" s="31"/>
      <c r="AD111" s="310"/>
    </row>
    <row r="112" spans="3:30" ht="12.75">
      <c r="C112" s="26"/>
      <c r="D112" s="31"/>
      <c r="E112" s="31"/>
      <c r="F112" s="31"/>
      <c r="G112" s="31"/>
      <c r="H112" s="31"/>
      <c r="I112" s="31"/>
      <c r="J112" s="31"/>
      <c r="K112" s="31"/>
      <c r="N112" s="31"/>
      <c r="O112" s="31"/>
      <c r="P112" s="31"/>
      <c r="Q112" s="31"/>
      <c r="R112" s="31"/>
      <c r="S112" s="31"/>
      <c r="T112" s="31"/>
      <c r="U112" s="31"/>
      <c r="AD112" s="310"/>
    </row>
    <row r="113" spans="3:30" ht="12.75">
      <c r="C113" s="26"/>
      <c r="D113" s="31"/>
      <c r="E113" s="31"/>
      <c r="F113" s="31"/>
      <c r="G113" s="31"/>
      <c r="H113" s="31"/>
      <c r="I113" s="31"/>
      <c r="J113" s="31"/>
      <c r="K113" s="31"/>
      <c r="N113" s="31"/>
      <c r="O113" s="31"/>
      <c r="P113" s="31"/>
      <c r="Q113" s="31"/>
      <c r="R113" s="31"/>
      <c r="S113" s="31"/>
      <c r="T113" s="31"/>
      <c r="U113" s="31"/>
      <c r="AD113" s="310"/>
    </row>
    <row r="114" spans="3:30" ht="12.75">
      <c r="C114" s="26"/>
      <c r="D114" s="31"/>
      <c r="E114" s="31"/>
      <c r="F114" s="31"/>
      <c r="G114" s="31"/>
      <c r="H114" s="31"/>
      <c r="I114" s="31"/>
      <c r="J114" s="31"/>
      <c r="K114" s="31"/>
      <c r="N114" s="31"/>
      <c r="O114" s="31"/>
      <c r="P114" s="31"/>
      <c r="Q114" s="31"/>
      <c r="R114" s="31"/>
      <c r="S114" s="31"/>
      <c r="T114" s="31"/>
      <c r="U114" s="31"/>
      <c r="AD114" s="310"/>
    </row>
    <row r="115" spans="3:30" ht="12.75">
      <c r="C115" s="26"/>
      <c r="D115" s="31"/>
      <c r="E115" s="31"/>
      <c r="F115" s="31"/>
      <c r="G115" s="31"/>
      <c r="H115" s="31"/>
      <c r="I115" s="31"/>
      <c r="J115" s="31"/>
      <c r="K115" s="31"/>
      <c r="N115" s="31"/>
      <c r="O115" s="31"/>
      <c r="P115" s="31"/>
      <c r="Q115" s="31"/>
      <c r="R115" s="31"/>
      <c r="S115" s="31"/>
      <c r="T115" s="31"/>
      <c r="U115" s="31"/>
      <c r="AD115" s="310"/>
    </row>
    <row r="116" spans="3:30" ht="12.75">
      <c r="C116" s="26"/>
      <c r="D116" s="31"/>
      <c r="E116" s="31"/>
      <c r="F116" s="31"/>
      <c r="G116" s="31"/>
      <c r="H116" s="31"/>
      <c r="I116" s="31"/>
      <c r="J116" s="31"/>
      <c r="K116" s="31"/>
      <c r="N116" s="31"/>
      <c r="O116" s="31"/>
      <c r="P116" s="31"/>
      <c r="Q116" s="31"/>
      <c r="R116" s="31"/>
      <c r="S116" s="31"/>
      <c r="T116" s="31"/>
      <c r="U116" s="31"/>
      <c r="AD116" s="310"/>
    </row>
    <row r="117" spans="3:30" ht="12.75">
      <c r="C117" s="26"/>
      <c r="D117" s="31"/>
      <c r="E117" s="31"/>
      <c r="F117" s="31"/>
      <c r="G117" s="31"/>
      <c r="H117" s="31"/>
      <c r="I117" s="31"/>
      <c r="J117" s="31"/>
      <c r="K117" s="31"/>
      <c r="N117" s="31"/>
      <c r="O117" s="31"/>
      <c r="P117" s="31"/>
      <c r="Q117" s="31"/>
      <c r="R117" s="31"/>
      <c r="S117" s="31"/>
      <c r="T117" s="31"/>
      <c r="U117" s="31"/>
      <c r="AD117" s="310"/>
    </row>
    <row r="118" spans="3:30" ht="12.75">
      <c r="C118" s="26"/>
      <c r="D118" s="31"/>
      <c r="E118" s="31"/>
      <c r="F118" s="31"/>
      <c r="G118" s="31"/>
      <c r="H118" s="31"/>
      <c r="I118" s="31"/>
      <c r="J118" s="31"/>
      <c r="K118" s="31"/>
      <c r="N118" s="31"/>
      <c r="O118" s="31"/>
      <c r="P118" s="31"/>
      <c r="Q118" s="31"/>
      <c r="R118" s="31"/>
      <c r="S118" s="31"/>
      <c r="T118" s="31"/>
      <c r="U118" s="31"/>
      <c r="AD118" s="310"/>
    </row>
    <row r="119" spans="3:30" ht="12.75">
      <c r="C119" s="26"/>
      <c r="D119" s="31"/>
      <c r="E119" s="31"/>
      <c r="F119" s="31"/>
      <c r="G119" s="31"/>
      <c r="H119" s="31"/>
      <c r="I119" s="31"/>
      <c r="J119" s="31"/>
      <c r="K119" s="31"/>
      <c r="N119" s="31"/>
      <c r="O119" s="31"/>
      <c r="P119" s="31"/>
      <c r="Q119" s="31"/>
      <c r="R119" s="31"/>
      <c r="S119" s="31"/>
      <c r="T119" s="31"/>
      <c r="U119" s="31"/>
      <c r="AD119" s="310"/>
    </row>
    <row r="120" spans="3:30" ht="12.75">
      <c r="C120" s="26"/>
      <c r="D120" s="31"/>
      <c r="E120" s="31"/>
      <c r="F120" s="31"/>
      <c r="G120" s="31"/>
      <c r="H120" s="31"/>
      <c r="I120" s="31"/>
      <c r="J120" s="31"/>
      <c r="K120" s="31"/>
      <c r="N120" s="31"/>
      <c r="O120" s="31"/>
      <c r="P120" s="31"/>
      <c r="Q120" s="31"/>
      <c r="R120" s="31"/>
      <c r="S120" s="31"/>
      <c r="T120" s="31"/>
      <c r="U120" s="31"/>
      <c r="AD120" s="310"/>
    </row>
    <row r="121" spans="3:30" ht="12.75">
      <c r="C121" s="26"/>
      <c r="D121" s="31"/>
      <c r="E121" s="31"/>
      <c r="F121" s="31"/>
      <c r="G121" s="31"/>
      <c r="H121" s="31"/>
      <c r="I121" s="31"/>
      <c r="J121" s="31"/>
      <c r="K121" s="31"/>
      <c r="N121" s="31"/>
      <c r="O121" s="31"/>
      <c r="P121" s="31"/>
      <c r="Q121" s="31"/>
      <c r="R121" s="31"/>
      <c r="S121" s="31"/>
      <c r="T121" s="31"/>
      <c r="U121" s="31"/>
      <c r="AD121" s="310"/>
    </row>
    <row r="122" spans="3:30" ht="12.75">
      <c r="C122" s="26"/>
      <c r="D122" s="31"/>
      <c r="E122" s="31"/>
      <c r="F122" s="31"/>
      <c r="G122" s="31"/>
      <c r="H122" s="31"/>
      <c r="I122" s="31"/>
      <c r="J122" s="31"/>
      <c r="K122" s="31"/>
      <c r="N122" s="31"/>
      <c r="O122" s="31"/>
      <c r="P122" s="31"/>
      <c r="Q122" s="31"/>
      <c r="R122" s="31"/>
      <c r="S122" s="31"/>
      <c r="T122" s="31"/>
      <c r="U122" s="31"/>
      <c r="AD122" s="310"/>
    </row>
    <row r="123" spans="3:30" ht="12.75">
      <c r="C123" s="26"/>
      <c r="D123" s="31"/>
      <c r="E123" s="31"/>
      <c r="F123" s="31"/>
      <c r="G123" s="31"/>
      <c r="H123" s="31"/>
      <c r="I123" s="31"/>
      <c r="J123" s="31"/>
      <c r="K123" s="31"/>
      <c r="N123" s="31"/>
      <c r="O123" s="31"/>
      <c r="P123" s="31"/>
      <c r="Q123" s="31"/>
      <c r="R123" s="31"/>
      <c r="S123" s="31"/>
      <c r="T123" s="31"/>
      <c r="U123" s="31"/>
      <c r="AD123" s="310"/>
    </row>
    <row r="124" spans="3:30" ht="12.75">
      <c r="C124" s="26"/>
      <c r="D124" s="31"/>
      <c r="E124" s="31"/>
      <c r="F124" s="31"/>
      <c r="G124" s="31"/>
      <c r="H124" s="31"/>
      <c r="I124" s="31"/>
      <c r="J124" s="31"/>
      <c r="K124" s="31"/>
      <c r="N124" s="31"/>
      <c r="O124" s="31"/>
      <c r="P124" s="31"/>
      <c r="Q124" s="31"/>
      <c r="R124" s="31"/>
      <c r="S124" s="31"/>
      <c r="T124" s="31"/>
      <c r="U124" s="31"/>
      <c r="AD124" s="310"/>
    </row>
    <row r="125" spans="3:30" ht="12.75">
      <c r="C125" s="26"/>
      <c r="D125" s="31"/>
      <c r="E125" s="31"/>
      <c r="F125" s="31"/>
      <c r="G125" s="31"/>
      <c r="H125" s="31"/>
      <c r="I125" s="31"/>
      <c r="J125" s="31"/>
      <c r="K125" s="31"/>
      <c r="N125" s="31"/>
      <c r="O125" s="31"/>
      <c r="P125" s="31"/>
      <c r="Q125" s="31"/>
      <c r="R125" s="31"/>
      <c r="S125" s="31"/>
      <c r="T125" s="31"/>
      <c r="U125" s="31"/>
      <c r="AD125" s="310"/>
    </row>
    <row r="126" spans="3:30" ht="12.75">
      <c r="C126" s="26"/>
      <c r="D126" s="31"/>
      <c r="E126" s="31"/>
      <c r="F126" s="31"/>
      <c r="G126" s="31"/>
      <c r="H126" s="31"/>
      <c r="I126" s="31"/>
      <c r="J126" s="31"/>
      <c r="K126" s="31"/>
      <c r="N126" s="31"/>
      <c r="O126" s="31"/>
      <c r="P126" s="31"/>
      <c r="Q126" s="31"/>
      <c r="R126" s="31"/>
      <c r="S126" s="31"/>
      <c r="T126" s="31"/>
      <c r="U126" s="31"/>
      <c r="AD126" s="310"/>
    </row>
    <row r="127" spans="3:30" ht="12.75">
      <c r="C127" s="26"/>
      <c r="D127" s="31"/>
      <c r="E127" s="31"/>
      <c r="F127" s="31"/>
      <c r="G127" s="31"/>
      <c r="H127" s="31"/>
      <c r="I127" s="31"/>
      <c r="J127" s="31"/>
      <c r="K127" s="31"/>
      <c r="N127" s="31"/>
      <c r="O127" s="31"/>
      <c r="P127" s="31"/>
      <c r="Q127" s="31"/>
      <c r="R127" s="31"/>
      <c r="S127" s="31"/>
      <c r="T127" s="31"/>
      <c r="U127" s="31"/>
      <c r="AD127" s="310"/>
    </row>
    <row r="128" spans="3:30" ht="12.75">
      <c r="C128" s="26"/>
      <c r="D128" s="31"/>
      <c r="E128" s="31"/>
      <c r="F128" s="31"/>
      <c r="G128" s="31"/>
      <c r="H128" s="31"/>
      <c r="I128" s="31"/>
      <c r="J128" s="31"/>
      <c r="K128" s="31"/>
      <c r="N128" s="31"/>
      <c r="O128" s="31"/>
      <c r="P128" s="31"/>
      <c r="Q128" s="31"/>
      <c r="R128" s="31"/>
      <c r="S128" s="31"/>
      <c r="T128" s="31"/>
      <c r="U128" s="31"/>
      <c r="AD128" s="310"/>
    </row>
    <row r="129" spans="3:30" ht="12.75">
      <c r="C129" s="26"/>
      <c r="D129" s="31"/>
      <c r="E129" s="31"/>
      <c r="F129" s="31"/>
      <c r="G129" s="31"/>
      <c r="H129" s="31"/>
      <c r="I129" s="31"/>
      <c r="J129" s="31"/>
      <c r="K129" s="31"/>
      <c r="N129" s="31"/>
      <c r="O129" s="31"/>
      <c r="P129" s="31"/>
      <c r="Q129" s="31"/>
      <c r="R129" s="31"/>
      <c r="S129" s="31"/>
      <c r="T129" s="31"/>
      <c r="U129" s="31"/>
      <c r="AD129" s="310"/>
    </row>
    <row r="130" spans="3:30" ht="12.75">
      <c r="C130" s="26"/>
      <c r="D130" s="31"/>
      <c r="E130" s="31"/>
      <c r="F130" s="31"/>
      <c r="G130" s="31"/>
      <c r="H130" s="31"/>
      <c r="I130" s="31"/>
      <c r="J130" s="31"/>
      <c r="K130" s="31"/>
      <c r="N130" s="31"/>
      <c r="O130" s="31"/>
      <c r="P130" s="31"/>
      <c r="Q130" s="31"/>
      <c r="R130" s="31"/>
      <c r="S130" s="31"/>
      <c r="T130" s="31"/>
      <c r="U130" s="31"/>
      <c r="AD130" s="310"/>
    </row>
    <row r="131" spans="3:30" ht="12.75">
      <c r="C131" s="26"/>
      <c r="D131" s="31"/>
      <c r="E131" s="31"/>
      <c r="F131" s="31"/>
      <c r="G131" s="31"/>
      <c r="H131" s="31"/>
      <c r="I131" s="31"/>
      <c r="J131" s="31"/>
      <c r="K131" s="31"/>
      <c r="N131" s="31"/>
      <c r="O131" s="31"/>
      <c r="P131" s="31"/>
      <c r="Q131" s="31"/>
      <c r="R131" s="31"/>
      <c r="S131" s="31"/>
      <c r="T131" s="31"/>
      <c r="U131" s="31"/>
      <c r="AD131" s="310"/>
    </row>
    <row r="132" spans="3:30" ht="12.75">
      <c r="C132" s="26"/>
      <c r="D132" s="31"/>
      <c r="E132" s="31"/>
      <c r="F132" s="31"/>
      <c r="G132" s="31"/>
      <c r="H132" s="31"/>
      <c r="I132" s="31"/>
      <c r="J132" s="31"/>
      <c r="K132" s="31"/>
      <c r="N132" s="31"/>
      <c r="O132" s="31"/>
      <c r="P132" s="31"/>
      <c r="Q132" s="31"/>
      <c r="R132" s="31"/>
      <c r="S132" s="31"/>
      <c r="T132" s="31"/>
      <c r="U132" s="31"/>
      <c r="AD132" s="310"/>
    </row>
    <row r="133" spans="3:30" ht="12.75">
      <c r="C133" s="26"/>
      <c r="D133" s="31"/>
      <c r="E133" s="31"/>
      <c r="F133" s="31"/>
      <c r="G133" s="31"/>
      <c r="H133" s="31"/>
      <c r="I133" s="31"/>
      <c r="J133" s="31"/>
      <c r="K133" s="31"/>
      <c r="N133" s="31"/>
      <c r="O133" s="31"/>
      <c r="P133" s="31"/>
      <c r="Q133" s="31"/>
      <c r="R133" s="31"/>
      <c r="S133" s="31"/>
      <c r="T133" s="31"/>
      <c r="U133" s="31"/>
      <c r="AD133" s="310"/>
    </row>
    <row r="134" spans="3:30" ht="12.75">
      <c r="C134" s="26"/>
      <c r="D134" s="31"/>
      <c r="E134" s="31"/>
      <c r="F134" s="31"/>
      <c r="G134" s="31"/>
      <c r="H134" s="31"/>
      <c r="I134" s="31"/>
      <c r="J134" s="31"/>
      <c r="K134" s="31"/>
      <c r="N134" s="31"/>
      <c r="O134" s="31"/>
      <c r="P134" s="31"/>
      <c r="Q134" s="31"/>
      <c r="R134" s="31"/>
      <c r="S134" s="31"/>
      <c r="T134" s="31"/>
      <c r="U134" s="31"/>
      <c r="AD134" s="310"/>
    </row>
    <row r="135" spans="3:30" ht="12.75">
      <c r="C135" s="26"/>
      <c r="D135" s="31"/>
      <c r="E135" s="31"/>
      <c r="F135" s="31"/>
      <c r="G135" s="31"/>
      <c r="H135" s="31"/>
      <c r="I135" s="31"/>
      <c r="J135" s="31"/>
      <c r="K135" s="31"/>
      <c r="N135" s="31"/>
      <c r="O135" s="31"/>
      <c r="P135" s="31"/>
      <c r="Q135" s="31"/>
      <c r="R135" s="31"/>
      <c r="S135" s="31"/>
      <c r="T135" s="31"/>
      <c r="U135" s="31"/>
      <c r="AD135" s="310"/>
    </row>
    <row r="136" spans="3:30" ht="12.75">
      <c r="C136" s="26"/>
      <c r="D136" s="31"/>
      <c r="E136" s="31"/>
      <c r="F136" s="31"/>
      <c r="G136" s="31"/>
      <c r="H136" s="31"/>
      <c r="I136" s="31"/>
      <c r="J136" s="31"/>
      <c r="K136" s="31"/>
      <c r="N136" s="31"/>
      <c r="O136" s="31"/>
      <c r="P136" s="31"/>
      <c r="Q136" s="31"/>
      <c r="R136" s="31"/>
      <c r="S136" s="31"/>
      <c r="T136" s="31"/>
      <c r="U136" s="31"/>
      <c r="AD136" s="310"/>
    </row>
    <row r="137" spans="3:30" ht="12.75">
      <c r="C137" s="26"/>
      <c r="D137" s="31"/>
      <c r="E137" s="31"/>
      <c r="F137" s="31"/>
      <c r="G137" s="31"/>
      <c r="H137" s="31"/>
      <c r="I137" s="31"/>
      <c r="J137" s="31"/>
      <c r="K137" s="31"/>
      <c r="N137" s="31"/>
      <c r="O137" s="31"/>
      <c r="P137" s="31"/>
      <c r="Q137" s="31"/>
      <c r="R137" s="31"/>
      <c r="S137" s="31"/>
      <c r="T137" s="31"/>
      <c r="U137" s="31"/>
      <c r="AD137" s="310"/>
    </row>
    <row r="138" spans="3:30" ht="12.75">
      <c r="C138" s="26"/>
      <c r="D138" s="31"/>
      <c r="E138" s="31"/>
      <c r="F138" s="31"/>
      <c r="G138" s="31"/>
      <c r="H138" s="31"/>
      <c r="I138" s="31"/>
      <c r="J138" s="31"/>
      <c r="K138" s="31"/>
      <c r="N138" s="31"/>
      <c r="O138" s="31"/>
      <c r="P138" s="31"/>
      <c r="Q138" s="31"/>
      <c r="R138" s="31"/>
      <c r="S138" s="31"/>
      <c r="T138" s="31"/>
      <c r="U138" s="31"/>
      <c r="AD138" s="310"/>
    </row>
    <row r="139" spans="3:30" ht="12.75">
      <c r="C139" s="26"/>
      <c r="D139" s="31"/>
      <c r="E139" s="31"/>
      <c r="F139" s="31"/>
      <c r="G139" s="31"/>
      <c r="H139" s="31"/>
      <c r="I139" s="31"/>
      <c r="J139" s="31"/>
      <c r="K139" s="31"/>
      <c r="N139" s="31"/>
      <c r="O139" s="31"/>
      <c r="P139" s="31"/>
      <c r="Q139" s="31"/>
      <c r="R139" s="31"/>
      <c r="S139" s="31"/>
      <c r="T139" s="31"/>
      <c r="U139" s="31"/>
      <c r="AD139" s="310"/>
    </row>
    <row r="140" spans="3:30" ht="12.75">
      <c r="C140" s="26"/>
      <c r="D140" s="31"/>
      <c r="E140" s="31"/>
      <c r="F140" s="31"/>
      <c r="G140" s="31"/>
      <c r="H140" s="31"/>
      <c r="I140" s="31"/>
      <c r="J140" s="31"/>
      <c r="K140" s="31"/>
      <c r="N140" s="31"/>
      <c r="O140" s="31"/>
      <c r="P140" s="31"/>
      <c r="Q140" s="31"/>
      <c r="R140" s="31"/>
      <c r="S140" s="31"/>
      <c r="T140" s="31"/>
      <c r="U140" s="31"/>
      <c r="AD140" s="310"/>
    </row>
    <row r="141" spans="3:30" ht="12.75">
      <c r="C141" s="26"/>
      <c r="D141" s="31"/>
      <c r="E141" s="31"/>
      <c r="F141" s="31"/>
      <c r="G141" s="31"/>
      <c r="H141" s="31"/>
      <c r="I141" s="31"/>
      <c r="J141" s="31"/>
      <c r="K141" s="31"/>
      <c r="N141" s="31"/>
      <c r="O141" s="31"/>
      <c r="P141" s="31"/>
      <c r="Q141" s="31"/>
      <c r="R141" s="31"/>
      <c r="S141" s="31"/>
      <c r="T141" s="31"/>
      <c r="U141" s="31"/>
      <c r="AD141" s="310"/>
    </row>
    <row r="142" spans="3:30" ht="12.75">
      <c r="C142" s="26"/>
      <c r="D142" s="31"/>
      <c r="E142" s="31"/>
      <c r="F142" s="31"/>
      <c r="G142" s="31"/>
      <c r="H142" s="31"/>
      <c r="I142" s="31"/>
      <c r="J142" s="31"/>
      <c r="K142" s="31"/>
      <c r="N142" s="31"/>
      <c r="O142" s="31"/>
      <c r="P142" s="31"/>
      <c r="Q142" s="31"/>
      <c r="R142" s="31"/>
      <c r="S142" s="31"/>
      <c r="T142" s="31"/>
      <c r="U142" s="31"/>
      <c r="AD142" s="310"/>
    </row>
    <row r="143" spans="3:30" ht="12.75">
      <c r="C143" s="26"/>
      <c r="D143" s="31"/>
      <c r="E143" s="31"/>
      <c r="F143" s="31"/>
      <c r="G143" s="31"/>
      <c r="H143" s="31"/>
      <c r="I143" s="31"/>
      <c r="J143" s="31"/>
      <c r="K143" s="31"/>
      <c r="N143" s="31"/>
      <c r="O143" s="31"/>
      <c r="P143" s="31"/>
      <c r="Q143" s="31"/>
      <c r="R143" s="31"/>
      <c r="S143" s="31"/>
      <c r="T143" s="31"/>
      <c r="U143" s="31"/>
      <c r="AD143" s="310"/>
    </row>
    <row r="144" spans="3:30" ht="12.75">
      <c r="C144" s="26"/>
      <c r="D144" s="31"/>
      <c r="E144" s="31"/>
      <c r="F144" s="31"/>
      <c r="G144" s="31"/>
      <c r="H144" s="31"/>
      <c r="I144" s="31"/>
      <c r="J144" s="31"/>
      <c r="K144" s="31"/>
      <c r="N144" s="31"/>
      <c r="O144" s="31"/>
      <c r="P144" s="31"/>
      <c r="Q144" s="31"/>
      <c r="R144" s="31"/>
      <c r="S144" s="31"/>
      <c r="T144" s="31"/>
      <c r="U144" s="31"/>
      <c r="AD144" s="310"/>
    </row>
    <row r="145" spans="3:30" ht="12.75">
      <c r="C145" s="26"/>
      <c r="D145" s="31"/>
      <c r="E145" s="31"/>
      <c r="F145" s="31"/>
      <c r="G145" s="31"/>
      <c r="H145" s="31"/>
      <c r="I145" s="31"/>
      <c r="J145" s="31"/>
      <c r="K145" s="31"/>
      <c r="N145" s="31"/>
      <c r="O145" s="31"/>
      <c r="P145" s="31"/>
      <c r="Q145" s="31"/>
      <c r="R145" s="31"/>
      <c r="S145" s="31"/>
      <c r="T145" s="31"/>
      <c r="U145" s="31"/>
      <c r="AD145" s="310"/>
    </row>
    <row r="146" spans="3:30" ht="12.75">
      <c r="C146" s="26"/>
      <c r="D146" s="31"/>
      <c r="E146" s="31"/>
      <c r="F146" s="31"/>
      <c r="G146" s="31"/>
      <c r="H146" s="31"/>
      <c r="I146" s="31"/>
      <c r="J146" s="31"/>
      <c r="K146" s="31"/>
      <c r="N146" s="31"/>
      <c r="O146" s="31"/>
      <c r="P146" s="31"/>
      <c r="Q146" s="31"/>
      <c r="R146" s="31"/>
      <c r="S146" s="31"/>
      <c r="T146" s="31"/>
      <c r="U146" s="31"/>
      <c r="AD146" s="310"/>
    </row>
    <row r="147" spans="3:30" ht="12.75">
      <c r="C147" s="26"/>
      <c r="D147" s="31"/>
      <c r="E147" s="31"/>
      <c r="F147" s="31"/>
      <c r="G147" s="31"/>
      <c r="H147" s="31"/>
      <c r="I147" s="31"/>
      <c r="J147" s="31"/>
      <c r="K147" s="31"/>
      <c r="N147" s="31"/>
      <c r="O147" s="31"/>
      <c r="P147" s="31"/>
      <c r="Q147" s="31"/>
      <c r="R147" s="31"/>
      <c r="S147" s="31"/>
      <c r="T147" s="31"/>
      <c r="U147" s="31"/>
      <c r="AD147" s="310"/>
    </row>
    <row r="148" spans="3:30" ht="12.75">
      <c r="C148" s="26"/>
      <c r="D148" s="31"/>
      <c r="E148" s="31"/>
      <c r="F148" s="31"/>
      <c r="G148" s="31"/>
      <c r="H148" s="31"/>
      <c r="I148" s="31"/>
      <c r="J148" s="31"/>
      <c r="K148" s="31"/>
      <c r="N148" s="31"/>
      <c r="O148" s="31"/>
      <c r="P148" s="31"/>
      <c r="Q148" s="31"/>
      <c r="R148" s="31"/>
      <c r="S148" s="31"/>
      <c r="T148" s="31"/>
      <c r="U148" s="31"/>
      <c r="AD148" s="310"/>
    </row>
    <row r="149" spans="3:30" ht="12.75">
      <c r="C149" s="26"/>
      <c r="D149" s="31"/>
      <c r="E149" s="31"/>
      <c r="F149" s="31"/>
      <c r="G149" s="31"/>
      <c r="H149" s="31"/>
      <c r="I149" s="31"/>
      <c r="J149" s="31"/>
      <c r="K149" s="31"/>
      <c r="N149" s="31"/>
      <c r="O149" s="31"/>
      <c r="P149" s="31"/>
      <c r="Q149" s="31"/>
      <c r="R149" s="31"/>
      <c r="S149" s="31"/>
      <c r="T149" s="31"/>
      <c r="U149" s="31"/>
      <c r="AD149" s="310"/>
    </row>
    <row r="150" spans="3:30" ht="12.75">
      <c r="C150" s="26"/>
      <c r="D150" s="31"/>
      <c r="E150" s="31"/>
      <c r="F150" s="31"/>
      <c r="G150" s="31"/>
      <c r="H150" s="31"/>
      <c r="I150" s="31"/>
      <c r="J150" s="31"/>
      <c r="K150" s="31"/>
      <c r="N150" s="31"/>
      <c r="O150" s="31"/>
      <c r="P150" s="31"/>
      <c r="Q150" s="31"/>
      <c r="R150" s="31"/>
      <c r="S150" s="31"/>
      <c r="T150" s="31"/>
      <c r="U150" s="31"/>
      <c r="AD150" s="310"/>
    </row>
    <row r="151" spans="3:30" ht="12.75">
      <c r="C151" s="26"/>
      <c r="D151" s="31"/>
      <c r="E151" s="31"/>
      <c r="F151" s="31"/>
      <c r="G151" s="31"/>
      <c r="H151" s="31"/>
      <c r="I151" s="31"/>
      <c r="J151" s="31"/>
      <c r="K151" s="31"/>
      <c r="N151" s="31"/>
      <c r="O151" s="31"/>
      <c r="P151" s="31"/>
      <c r="Q151" s="31"/>
      <c r="R151" s="31"/>
      <c r="S151" s="31"/>
      <c r="T151" s="31"/>
      <c r="U151" s="31"/>
      <c r="AD151" s="310"/>
    </row>
    <row r="152" spans="3:30" ht="12.75">
      <c r="C152" s="26"/>
      <c r="D152" s="31"/>
      <c r="E152" s="31"/>
      <c r="F152" s="31"/>
      <c r="G152" s="31"/>
      <c r="H152" s="31"/>
      <c r="I152" s="31"/>
      <c r="J152" s="31"/>
      <c r="K152" s="31"/>
      <c r="N152" s="31"/>
      <c r="O152" s="31"/>
      <c r="P152" s="31"/>
      <c r="Q152" s="31"/>
      <c r="R152" s="31"/>
      <c r="S152" s="31"/>
      <c r="T152" s="31"/>
      <c r="U152" s="31"/>
      <c r="AD152" s="310"/>
    </row>
    <row r="153" spans="3:30" ht="12.75">
      <c r="C153" s="26"/>
      <c r="D153" s="31"/>
      <c r="E153" s="31"/>
      <c r="F153" s="31"/>
      <c r="G153" s="31"/>
      <c r="H153" s="31"/>
      <c r="I153" s="31"/>
      <c r="J153" s="31"/>
      <c r="K153" s="31"/>
      <c r="N153" s="31"/>
      <c r="O153" s="31"/>
      <c r="P153" s="31"/>
      <c r="Q153" s="31"/>
      <c r="R153" s="31"/>
      <c r="S153" s="31"/>
      <c r="T153" s="31"/>
      <c r="U153" s="31"/>
      <c r="AD153" s="310"/>
    </row>
    <row r="154" spans="3:30" ht="12.75">
      <c r="C154" s="26"/>
      <c r="D154" s="31"/>
      <c r="E154" s="31"/>
      <c r="F154" s="31"/>
      <c r="G154" s="31"/>
      <c r="H154" s="31"/>
      <c r="I154" s="31"/>
      <c r="J154" s="31"/>
      <c r="K154" s="31"/>
      <c r="N154" s="31"/>
      <c r="O154" s="31"/>
      <c r="P154" s="31"/>
      <c r="Q154" s="31"/>
      <c r="R154" s="31"/>
      <c r="S154" s="31"/>
      <c r="T154" s="31"/>
      <c r="U154" s="31"/>
      <c r="AD154" s="310"/>
    </row>
    <row r="155" spans="3:30" ht="12.75">
      <c r="C155" s="26"/>
      <c r="D155" s="31"/>
      <c r="E155" s="31"/>
      <c r="F155" s="31"/>
      <c r="G155" s="31"/>
      <c r="H155" s="31"/>
      <c r="I155" s="31"/>
      <c r="J155" s="31"/>
      <c r="K155" s="31"/>
      <c r="N155" s="31"/>
      <c r="O155" s="31"/>
      <c r="P155" s="31"/>
      <c r="Q155" s="31"/>
      <c r="R155" s="31"/>
      <c r="S155" s="31"/>
      <c r="T155" s="31"/>
      <c r="U155" s="31"/>
      <c r="AD155" s="310"/>
    </row>
    <row r="156" spans="3:30" ht="12.75">
      <c r="C156" s="26"/>
      <c r="D156" s="31"/>
      <c r="E156" s="31"/>
      <c r="F156" s="31"/>
      <c r="G156" s="31"/>
      <c r="H156" s="31"/>
      <c r="I156" s="31"/>
      <c r="J156" s="31"/>
      <c r="K156" s="31"/>
      <c r="N156" s="31"/>
      <c r="O156" s="31"/>
      <c r="P156" s="31"/>
      <c r="Q156" s="31"/>
      <c r="R156" s="31"/>
      <c r="S156" s="31"/>
      <c r="T156" s="31"/>
      <c r="U156" s="31"/>
      <c r="AD156" s="310"/>
    </row>
    <row r="157" spans="3:30" ht="12.75">
      <c r="C157" s="26"/>
      <c r="D157" s="31"/>
      <c r="E157" s="31"/>
      <c r="F157" s="31"/>
      <c r="G157" s="31"/>
      <c r="H157" s="31"/>
      <c r="I157" s="31"/>
      <c r="J157" s="31"/>
      <c r="K157" s="31"/>
      <c r="N157" s="31"/>
      <c r="O157" s="31"/>
      <c r="P157" s="31"/>
      <c r="Q157" s="31"/>
      <c r="R157" s="31"/>
      <c r="S157" s="31"/>
      <c r="T157" s="31"/>
      <c r="U157" s="31"/>
      <c r="AD157" s="310"/>
    </row>
    <row r="158" spans="3:30" ht="12.75">
      <c r="C158" s="26"/>
      <c r="D158" s="31"/>
      <c r="E158" s="31"/>
      <c r="F158" s="31"/>
      <c r="G158" s="31"/>
      <c r="H158" s="31"/>
      <c r="I158" s="31"/>
      <c r="J158" s="31"/>
      <c r="K158" s="31"/>
      <c r="N158" s="31"/>
      <c r="O158" s="31"/>
      <c r="P158" s="31"/>
      <c r="Q158" s="31"/>
      <c r="R158" s="31"/>
      <c r="S158" s="31"/>
      <c r="T158" s="31"/>
      <c r="U158" s="31"/>
      <c r="AD158" s="310"/>
    </row>
    <row r="159" spans="3:30" ht="12.75">
      <c r="C159" s="26"/>
      <c r="D159" s="31"/>
      <c r="E159" s="31"/>
      <c r="F159" s="31"/>
      <c r="G159" s="31"/>
      <c r="H159" s="31"/>
      <c r="I159" s="31"/>
      <c r="J159" s="31"/>
      <c r="K159" s="31"/>
      <c r="N159" s="31"/>
      <c r="O159" s="31"/>
      <c r="P159" s="31"/>
      <c r="Q159" s="31"/>
      <c r="R159" s="31"/>
      <c r="S159" s="31"/>
      <c r="T159" s="31"/>
      <c r="U159" s="31"/>
      <c r="AD159" s="310"/>
    </row>
    <row r="160" spans="3:30" ht="12.75">
      <c r="C160" s="26"/>
      <c r="D160" s="31"/>
      <c r="E160" s="31"/>
      <c r="F160" s="31"/>
      <c r="G160" s="31"/>
      <c r="H160" s="31"/>
      <c r="I160" s="31"/>
      <c r="J160" s="31"/>
      <c r="K160" s="31"/>
      <c r="N160" s="31"/>
      <c r="O160" s="31"/>
      <c r="P160" s="31"/>
      <c r="Q160" s="31"/>
      <c r="R160" s="31"/>
      <c r="S160" s="31"/>
      <c r="T160" s="31"/>
      <c r="U160" s="31"/>
      <c r="AD160" s="310"/>
    </row>
    <row r="161" spans="3:30" ht="12.75">
      <c r="C161" s="26"/>
      <c r="D161" s="31"/>
      <c r="E161" s="31"/>
      <c r="F161" s="31"/>
      <c r="G161" s="31"/>
      <c r="H161" s="31"/>
      <c r="I161" s="31"/>
      <c r="J161" s="31"/>
      <c r="K161" s="31"/>
      <c r="N161" s="31"/>
      <c r="O161" s="31"/>
      <c r="P161" s="31"/>
      <c r="Q161" s="31"/>
      <c r="R161" s="31"/>
      <c r="S161" s="31"/>
      <c r="T161" s="31"/>
      <c r="U161" s="31"/>
      <c r="AD161" s="310"/>
    </row>
    <row r="162" spans="3:30" ht="12.75">
      <c r="C162" s="26"/>
      <c r="D162" s="31"/>
      <c r="E162" s="31"/>
      <c r="F162" s="31"/>
      <c r="G162" s="31"/>
      <c r="H162" s="31"/>
      <c r="I162" s="31"/>
      <c r="J162" s="31"/>
      <c r="K162" s="31"/>
      <c r="N162" s="31"/>
      <c r="O162" s="31"/>
      <c r="P162" s="31"/>
      <c r="Q162" s="31"/>
      <c r="R162" s="31"/>
      <c r="S162" s="31"/>
      <c r="T162" s="31"/>
      <c r="U162" s="31"/>
      <c r="AD162" s="310"/>
    </row>
    <row r="163" spans="3:30" ht="12.75">
      <c r="C163" s="26"/>
      <c r="D163" s="31"/>
      <c r="E163" s="31"/>
      <c r="F163" s="31"/>
      <c r="G163" s="31"/>
      <c r="H163" s="31"/>
      <c r="I163" s="31"/>
      <c r="J163" s="31"/>
      <c r="K163" s="31"/>
      <c r="N163" s="31"/>
      <c r="O163" s="31"/>
      <c r="P163" s="31"/>
      <c r="Q163" s="31"/>
      <c r="R163" s="31"/>
      <c r="S163" s="31"/>
      <c r="T163" s="31"/>
      <c r="U163" s="31"/>
      <c r="AD163" s="310"/>
    </row>
    <row r="164" spans="3:30" ht="12.75">
      <c r="C164" s="26"/>
      <c r="D164" s="31"/>
      <c r="E164" s="31"/>
      <c r="F164" s="31"/>
      <c r="G164" s="31"/>
      <c r="H164" s="31"/>
      <c r="I164" s="31"/>
      <c r="J164" s="31"/>
      <c r="K164" s="31"/>
      <c r="N164" s="31"/>
      <c r="O164" s="31"/>
      <c r="P164" s="31"/>
      <c r="Q164" s="31"/>
      <c r="R164" s="31"/>
      <c r="S164" s="31"/>
      <c r="T164" s="31"/>
      <c r="U164" s="31"/>
      <c r="AD164" s="310"/>
    </row>
    <row r="165" spans="3:30" ht="12.75">
      <c r="C165" s="26"/>
      <c r="D165" s="31"/>
      <c r="E165" s="31"/>
      <c r="F165" s="31"/>
      <c r="G165" s="31"/>
      <c r="H165" s="31"/>
      <c r="I165" s="31"/>
      <c r="J165" s="31"/>
      <c r="K165" s="31"/>
      <c r="N165" s="31"/>
      <c r="O165" s="31"/>
      <c r="P165" s="31"/>
      <c r="Q165" s="31"/>
      <c r="R165" s="31"/>
      <c r="S165" s="31"/>
      <c r="T165" s="31"/>
      <c r="U165" s="31"/>
      <c r="AD165" s="310"/>
    </row>
    <row r="166" spans="3:30" ht="12.75">
      <c r="C166" s="26"/>
      <c r="D166" s="31"/>
      <c r="E166" s="31"/>
      <c r="F166" s="31"/>
      <c r="G166" s="31"/>
      <c r="H166" s="31"/>
      <c r="I166" s="31"/>
      <c r="J166" s="31"/>
      <c r="K166" s="31"/>
      <c r="N166" s="31"/>
      <c r="O166" s="31"/>
      <c r="P166" s="31"/>
      <c r="Q166" s="31"/>
      <c r="R166" s="31"/>
      <c r="S166" s="31"/>
      <c r="T166" s="31"/>
      <c r="U166" s="31"/>
      <c r="AD166" s="310"/>
    </row>
    <row r="167" spans="3:30" ht="12.75">
      <c r="C167" s="26"/>
      <c r="D167" s="31"/>
      <c r="E167" s="31"/>
      <c r="F167" s="31"/>
      <c r="G167" s="31"/>
      <c r="H167" s="31"/>
      <c r="I167" s="31"/>
      <c r="J167" s="31"/>
      <c r="K167" s="31"/>
      <c r="N167" s="31"/>
      <c r="O167" s="31"/>
      <c r="P167" s="31"/>
      <c r="Q167" s="31"/>
      <c r="R167" s="31"/>
      <c r="S167" s="31"/>
      <c r="T167" s="31"/>
      <c r="U167" s="31"/>
      <c r="AD167" s="310"/>
    </row>
    <row r="168" spans="3:30" ht="12.75">
      <c r="C168" s="26"/>
      <c r="D168" s="31"/>
      <c r="E168" s="31"/>
      <c r="F168" s="31"/>
      <c r="G168" s="31"/>
      <c r="H168" s="31"/>
      <c r="I168" s="31"/>
      <c r="J168" s="31"/>
      <c r="K168" s="31"/>
      <c r="N168" s="31"/>
      <c r="O168" s="31"/>
      <c r="P168" s="31"/>
      <c r="Q168" s="31"/>
      <c r="R168" s="31"/>
      <c r="S168" s="31"/>
      <c r="T168" s="31"/>
      <c r="U168" s="31"/>
      <c r="AD168" s="310"/>
    </row>
    <row r="169" spans="3:30" ht="12.75">
      <c r="C169" s="26"/>
      <c r="D169" s="31"/>
      <c r="E169" s="31"/>
      <c r="F169" s="31"/>
      <c r="G169" s="31"/>
      <c r="H169" s="31"/>
      <c r="I169" s="31"/>
      <c r="J169" s="31"/>
      <c r="K169" s="31"/>
      <c r="N169" s="31"/>
      <c r="O169" s="31"/>
      <c r="P169" s="31"/>
      <c r="Q169" s="31"/>
      <c r="R169" s="31"/>
      <c r="S169" s="31"/>
      <c r="T169" s="31"/>
      <c r="U169" s="31"/>
      <c r="AD169" s="310"/>
    </row>
    <row r="170" spans="3:30" ht="12.75">
      <c r="C170" s="26"/>
      <c r="D170" s="31"/>
      <c r="E170" s="31"/>
      <c r="F170" s="31"/>
      <c r="G170" s="31"/>
      <c r="H170" s="31"/>
      <c r="I170" s="31"/>
      <c r="J170" s="31"/>
      <c r="K170" s="31"/>
      <c r="N170" s="31"/>
      <c r="O170" s="31"/>
      <c r="P170" s="31"/>
      <c r="Q170" s="31"/>
      <c r="R170" s="31"/>
      <c r="S170" s="31"/>
      <c r="T170" s="31"/>
      <c r="U170" s="31"/>
      <c r="AD170" s="310"/>
    </row>
    <row r="171" spans="3:30" ht="12.75">
      <c r="C171" s="26"/>
      <c r="D171" s="31"/>
      <c r="E171" s="31"/>
      <c r="F171" s="31"/>
      <c r="G171" s="31"/>
      <c r="H171" s="31"/>
      <c r="I171" s="31"/>
      <c r="J171" s="31"/>
      <c r="K171" s="31"/>
      <c r="N171" s="31"/>
      <c r="O171" s="31"/>
      <c r="P171" s="31"/>
      <c r="Q171" s="31"/>
      <c r="R171" s="31"/>
      <c r="S171" s="31"/>
      <c r="T171" s="31"/>
      <c r="U171" s="31"/>
      <c r="AD171" s="310"/>
    </row>
    <row r="172" spans="3:30" ht="12.75">
      <c r="C172" s="26"/>
      <c r="D172" s="31"/>
      <c r="E172" s="31"/>
      <c r="F172" s="31"/>
      <c r="G172" s="31"/>
      <c r="H172" s="31"/>
      <c r="I172" s="31"/>
      <c r="J172" s="31"/>
      <c r="K172" s="31"/>
      <c r="N172" s="31"/>
      <c r="O172" s="31"/>
      <c r="P172" s="31"/>
      <c r="Q172" s="31"/>
      <c r="R172" s="31"/>
      <c r="S172" s="31"/>
      <c r="T172" s="31"/>
      <c r="U172" s="31"/>
      <c r="AD172" s="310"/>
    </row>
    <row r="173" spans="3:30" ht="12.75">
      <c r="C173" s="26"/>
      <c r="D173" s="31"/>
      <c r="E173" s="31"/>
      <c r="F173" s="31"/>
      <c r="G173" s="31"/>
      <c r="H173" s="31"/>
      <c r="I173" s="31"/>
      <c r="J173" s="31"/>
      <c r="K173" s="31"/>
      <c r="N173" s="31"/>
      <c r="O173" s="31"/>
      <c r="P173" s="31"/>
      <c r="Q173" s="31"/>
      <c r="R173" s="31"/>
      <c r="S173" s="31"/>
      <c r="T173" s="31"/>
      <c r="U173" s="31"/>
      <c r="AD173" s="310"/>
    </row>
    <row r="174" spans="3:30" ht="12.75">
      <c r="C174" s="26"/>
      <c r="D174" s="31"/>
      <c r="E174" s="31"/>
      <c r="F174" s="31"/>
      <c r="G174" s="31"/>
      <c r="H174" s="31"/>
      <c r="I174" s="31"/>
      <c r="J174" s="31"/>
      <c r="K174" s="31"/>
      <c r="N174" s="31"/>
      <c r="O174" s="31"/>
      <c r="P174" s="31"/>
      <c r="Q174" s="31"/>
      <c r="R174" s="31"/>
      <c r="S174" s="31"/>
      <c r="T174" s="31"/>
      <c r="U174" s="31"/>
      <c r="AD174" s="310"/>
    </row>
    <row r="175" spans="3:30" ht="12.75">
      <c r="C175" s="26"/>
      <c r="D175" s="31"/>
      <c r="E175" s="31"/>
      <c r="F175" s="31"/>
      <c r="G175" s="31"/>
      <c r="H175" s="31"/>
      <c r="I175" s="31"/>
      <c r="J175" s="31"/>
      <c r="K175" s="31"/>
      <c r="N175" s="31"/>
      <c r="O175" s="31"/>
      <c r="P175" s="31"/>
      <c r="Q175" s="31"/>
      <c r="R175" s="31"/>
      <c r="S175" s="31"/>
      <c r="T175" s="31"/>
      <c r="U175" s="31"/>
      <c r="AD175" s="310"/>
    </row>
    <row r="176" spans="3:30" ht="12.75">
      <c r="C176" s="26"/>
      <c r="D176" s="31"/>
      <c r="E176" s="31"/>
      <c r="F176" s="31"/>
      <c r="G176" s="31"/>
      <c r="H176" s="31"/>
      <c r="I176" s="31"/>
      <c r="J176" s="31"/>
      <c r="K176" s="31"/>
      <c r="N176" s="31"/>
      <c r="O176" s="31"/>
      <c r="P176" s="31"/>
      <c r="Q176" s="31"/>
      <c r="R176" s="31"/>
      <c r="S176" s="31"/>
      <c r="T176" s="31"/>
      <c r="U176" s="31"/>
      <c r="AD176" s="310"/>
    </row>
    <row r="177" spans="3:30" ht="12.75">
      <c r="C177" s="26"/>
      <c r="D177" s="31"/>
      <c r="E177" s="31"/>
      <c r="F177" s="31"/>
      <c r="G177" s="31"/>
      <c r="H177" s="31"/>
      <c r="I177" s="31"/>
      <c r="J177" s="31"/>
      <c r="K177" s="31"/>
      <c r="N177" s="31"/>
      <c r="O177" s="31"/>
      <c r="P177" s="31"/>
      <c r="Q177" s="31"/>
      <c r="R177" s="31"/>
      <c r="S177" s="31"/>
      <c r="T177" s="31"/>
      <c r="U177" s="31"/>
      <c r="AD177" s="310"/>
    </row>
    <row r="178" spans="3:30" ht="12.75">
      <c r="C178" s="26"/>
      <c r="D178" s="31"/>
      <c r="E178" s="31"/>
      <c r="F178" s="31"/>
      <c r="G178" s="31"/>
      <c r="H178" s="31"/>
      <c r="I178" s="31"/>
      <c r="J178" s="31"/>
      <c r="K178" s="31"/>
      <c r="N178" s="31"/>
      <c r="O178" s="31"/>
      <c r="P178" s="31"/>
      <c r="Q178" s="31"/>
      <c r="R178" s="31"/>
      <c r="S178" s="31"/>
      <c r="T178" s="31"/>
      <c r="U178" s="31"/>
      <c r="AD178" s="310"/>
    </row>
    <row r="179" spans="3:30" ht="12.75">
      <c r="C179" s="26"/>
      <c r="D179" s="31"/>
      <c r="E179" s="31"/>
      <c r="F179" s="31"/>
      <c r="G179" s="31"/>
      <c r="H179" s="31"/>
      <c r="I179" s="31"/>
      <c r="J179" s="31"/>
      <c r="K179" s="31"/>
      <c r="N179" s="31"/>
      <c r="O179" s="31"/>
      <c r="P179" s="31"/>
      <c r="Q179" s="31"/>
      <c r="R179" s="31"/>
      <c r="S179" s="31"/>
      <c r="T179" s="31"/>
      <c r="U179" s="31"/>
      <c r="AD179" s="310"/>
    </row>
    <row r="180" spans="3:30" ht="12.75">
      <c r="C180" s="26"/>
      <c r="D180" s="31"/>
      <c r="E180" s="31"/>
      <c r="F180" s="31"/>
      <c r="G180" s="31"/>
      <c r="H180" s="31"/>
      <c r="I180" s="31"/>
      <c r="J180" s="31"/>
      <c r="K180" s="31"/>
      <c r="N180" s="31"/>
      <c r="O180" s="31"/>
      <c r="P180" s="31"/>
      <c r="Q180" s="31"/>
      <c r="R180" s="31"/>
      <c r="S180" s="31"/>
      <c r="T180" s="31"/>
      <c r="U180" s="31"/>
      <c r="AD180" s="310"/>
    </row>
    <row r="181" spans="3:30" ht="12.75">
      <c r="C181" s="26"/>
      <c r="D181" s="31"/>
      <c r="E181" s="31"/>
      <c r="F181" s="31"/>
      <c r="G181" s="31"/>
      <c r="H181" s="31"/>
      <c r="I181" s="31"/>
      <c r="J181" s="31"/>
      <c r="K181" s="31"/>
      <c r="N181" s="31"/>
      <c r="O181" s="31"/>
      <c r="P181" s="31"/>
      <c r="Q181" s="31"/>
      <c r="R181" s="31"/>
      <c r="S181" s="31"/>
      <c r="T181" s="31"/>
      <c r="U181" s="31"/>
      <c r="AD181" s="310"/>
    </row>
    <row r="182" spans="3:30" ht="12.75">
      <c r="C182" s="26"/>
      <c r="D182" s="31"/>
      <c r="E182" s="31"/>
      <c r="F182" s="31"/>
      <c r="G182" s="31"/>
      <c r="H182" s="31"/>
      <c r="I182" s="31"/>
      <c r="J182" s="31"/>
      <c r="K182" s="31"/>
      <c r="N182" s="31"/>
      <c r="O182" s="31"/>
      <c r="P182" s="31"/>
      <c r="Q182" s="31"/>
      <c r="R182" s="31"/>
      <c r="S182" s="31"/>
      <c r="T182" s="31"/>
      <c r="U182" s="31"/>
      <c r="AD182" s="310"/>
    </row>
    <row r="183" spans="3:30" ht="12.75">
      <c r="C183" s="26"/>
      <c r="D183" s="31"/>
      <c r="E183" s="31"/>
      <c r="F183" s="31"/>
      <c r="G183" s="31"/>
      <c r="H183" s="31"/>
      <c r="I183" s="31"/>
      <c r="J183" s="31"/>
      <c r="K183" s="31"/>
      <c r="N183" s="31"/>
      <c r="O183" s="31"/>
      <c r="P183" s="31"/>
      <c r="Q183" s="31"/>
      <c r="R183" s="31"/>
      <c r="S183" s="31"/>
      <c r="T183" s="31"/>
      <c r="U183" s="31"/>
      <c r="AD183" s="310"/>
    </row>
    <row r="184" spans="3:30" ht="12.75">
      <c r="C184" s="26"/>
      <c r="D184" s="31"/>
      <c r="E184" s="31"/>
      <c r="F184" s="31"/>
      <c r="G184" s="31"/>
      <c r="H184" s="31"/>
      <c r="I184" s="31"/>
      <c r="J184" s="31"/>
      <c r="K184" s="31"/>
      <c r="N184" s="31"/>
      <c r="O184" s="31"/>
      <c r="P184" s="31"/>
      <c r="Q184" s="31"/>
      <c r="R184" s="31"/>
      <c r="S184" s="31"/>
      <c r="T184" s="31"/>
      <c r="U184" s="31"/>
      <c r="AD184" s="310"/>
    </row>
    <row r="185" spans="3:30" ht="12.75">
      <c r="C185" s="26"/>
      <c r="D185" s="31"/>
      <c r="E185" s="31"/>
      <c r="F185" s="31"/>
      <c r="G185" s="31"/>
      <c r="H185" s="31"/>
      <c r="I185" s="31"/>
      <c r="J185" s="31"/>
      <c r="K185" s="31"/>
      <c r="N185" s="31"/>
      <c r="O185" s="31"/>
      <c r="P185" s="31"/>
      <c r="Q185" s="31"/>
      <c r="R185" s="31"/>
      <c r="S185" s="31"/>
      <c r="T185" s="31"/>
      <c r="U185" s="31"/>
      <c r="AD185" s="310"/>
    </row>
    <row r="186" spans="3:30" ht="12.75">
      <c r="C186" s="26"/>
      <c r="D186" s="31"/>
      <c r="E186" s="31"/>
      <c r="F186" s="31"/>
      <c r="G186" s="31"/>
      <c r="H186" s="31"/>
      <c r="I186" s="31"/>
      <c r="J186" s="31"/>
      <c r="K186" s="31"/>
      <c r="N186" s="31"/>
      <c r="O186" s="31"/>
      <c r="P186" s="31"/>
      <c r="Q186" s="31"/>
      <c r="R186" s="31"/>
      <c r="S186" s="31"/>
      <c r="T186" s="31"/>
      <c r="U186" s="31"/>
      <c r="AD186" s="310"/>
    </row>
    <row r="187" spans="3:30" ht="12.75">
      <c r="C187" s="26"/>
      <c r="D187" s="31"/>
      <c r="E187" s="31"/>
      <c r="F187" s="31"/>
      <c r="G187" s="31"/>
      <c r="H187" s="31"/>
      <c r="I187" s="31"/>
      <c r="J187" s="31"/>
      <c r="K187" s="31"/>
      <c r="N187" s="31"/>
      <c r="O187" s="31"/>
      <c r="P187" s="31"/>
      <c r="Q187" s="31"/>
      <c r="R187" s="31"/>
      <c r="S187" s="31"/>
      <c r="T187" s="31"/>
      <c r="U187" s="31"/>
      <c r="AD187" s="310"/>
    </row>
    <row r="188" spans="3:30" ht="12.75">
      <c r="C188" s="26"/>
      <c r="D188" s="31"/>
      <c r="E188" s="31"/>
      <c r="F188" s="31"/>
      <c r="G188" s="31"/>
      <c r="H188" s="31"/>
      <c r="I188" s="31"/>
      <c r="J188" s="31"/>
      <c r="K188" s="31"/>
      <c r="N188" s="31"/>
      <c r="O188" s="31"/>
      <c r="P188" s="31"/>
      <c r="Q188" s="31"/>
      <c r="R188" s="31"/>
      <c r="S188" s="31"/>
      <c r="T188" s="31"/>
      <c r="U188" s="31"/>
      <c r="AD188" s="310"/>
    </row>
    <row r="189" spans="3:30" ht="12.75">
      <c r="C189" s="26"/>
      <c r="D189" s="31"/>
      <c r="E189" s="31"/>
      <c r="F189" s="31"/>
      <c r="G189" s="31"/>
      <c r="H189" s="31"/>
      <c r="I189" s="31"/>
      <c r="J189" s="31"/>
      <c r="K189" s="31"/>
      <c r="N189" s="31"/>
      <c r="O189" s="31"/>
      <c r="P189" s="31"/>
      <c r="Q189" s="31"/>
      <c r="R189" s="31"/>
      <c r="S189" s="31"/>
      <c r="T189" s="31"/>
      <c r="U189" s="31"/>
      <c r="AD189" s="310"/>
    </row>
    <row r="190" spans="3:30" ht="12.75">
      <c r="C190" s="26"/>
      <c r="D190" s="31"/>
      <c r="E190" s="31"/>
      <c r="F190" s="31"/>
      <c r="G190" s="31"/>
      <c r="H190" s="31"/>
      <c r="I190" s="31"/>
      <c r="J190" s="31"/>
      <c r="K190" s="31"/>
      <c r="N190" s="31"/>
      <c r="O190" s="31"/>
      <c r="P190" s="31"/>
      <c r="Q190" s="31"/>
      <c r="R190" s="31"/>
      <c r="S190" s="31"/>
      <c r="T190" s="31"/>
      <c r="U190" s="31"/>
      <c r="AD190" s="310"/>
    </row>
    <row r="191" spans="3:30" ht="12.75">
      <c r="C191" s="26"/>
      <c r="D191" s="31"/>
      <c r="E191" s="31"/>
      <c r="F191" s="31"/>
      <c r="G191" s="31"/>
      <c r="H191" s="31"/>
      <c r="I191" s="31"/>
      <c r="J191" s="31"/>
      <c r="K191" s="31"/>
      <c r="N191" s="31"/>
      <c r="O191" s="31"/>
      <c r="P191" s="31"/>
      <c r="Q191" s="31"/>
      <c r="R191" s="31"/>
      <c r="S191" s="31"/>
      <c r="T191" s="31"/>
      <c r="U191" s="31"/>
      <c r="AD191" s="310"/>
    </row>
    <row r="192" spans="3:30" ht="12.75">
      <c r="C192" s="26"/>
      <c r="D192" s="31"/>
      <c r="E192" s="31"/>
      <c r="F192" s="31"/>
      <c r="G192" s="31"/>
      <c r="H192" s="31"/>
      <c r="I192" s="31"/>
      <c r="J192" s="31"/>
      <c r="K192" s="31"/>
      <c r="N192" s="31"/>
      <c r="O192" s="31"/>
      <c r="P192" s="31"/>
      <c r="Q192" s="31"/>
      <c r="R192" s="31"/>
      <c r="S192" s="31"/>
      <c r="T192" s="31"/>
      <c r="U192" s="31"/>
      <c r="AD192" s="310"/>
    </row>
  </sheetData>
  <sheetProtection/>
  <mergeCells count="5">
    <mergeCell ref="A1:L1"/>
    <mergeCell ref="A2:C2"/>
    <mergeCell ref="D5:L5"/>
    <mergeCell ref="N5:AD5"/>
    <mergeCell ref="B6:C6"/>
  </mergeCells>
  <printOptions/>
  <pageMargins left="0.7" right="0.7" top="0.75" bottom="0.75" header="0.3" footer="0.3"/>
  <pageSetup fitToHeight="1" fitToWidth="1" horizontalDpi="200" verticalDpi="200" orientation="landscape" paperSize="8" scale="58" r:id="rId1"/>
  <rowBreaks count="1" manualBreakCount="1">
    <brk id="29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G65"/>
  <sheetViews>
    <sheetView view="pageBreakPreview" zoomScale="60" zoomScalePageLayoutView="0" workbookViewId="0" topLeftCell="A37">
      <selection activeCell="M29" sqref="M29"/>
    </sheetView>
  </sheetViews>
  <sheetFormatPr defaultColWidth="9.140625" defaultRowHeight="15"/>
  <cols>
    <col min="2" max="2" width="12.28125" style="0" customWidth="1"/>
    <col min="3" max="3" width="34.8515625" style="0" customWidth="1"/>
    <col min="4" max="5" width="17.00390625" style="0" customWidth="1"/>
    <col min="6" max="6" width="14.140625" style="0" customWidth="1"/>
    <col min="7" max="7" width="17.28125" style="0" customWidth="1"/>
  </cols>
  <sheetData>
    <row r="1" spans="2:5" ht="18.75">
      <c r="B1" s="362" t="s">
        <v>853</v>
      </c>
      <c r="C1" s="362"/>
      <c r="D1" s="362"/>
      <c r="E1" s="59"/>
    </row>
    <row r="2" spans="2:5" ht="18.75" customHeight="1">
      <c r="B2" s="361" t="s">
        <v>663</v>
      </c>
      <c r="C2" s="361"/>
      <c r="D2" s="361"/>
      <c r="E2" s="361"/>
    </row>
    <row r="3" spans="2:5" ht="18.75" customHeight="1">
      <c r="B3" s="305"/>
      <c r="C3" s="305"/>
      <c r="D3" s="305"/>
      <c r="E3" s="305"/>
    </row>
    <row r="4" spans="1:7" s="304" customFormat="1" ht="18.75">
      <c r="A4" s="12"/>
      <c r="B4" s="311" t="s">
        <v>27</v>
      </c>
      <c r="C4" s="311" t="s">
        <v>28</v>
      </c>
      <c r="D4" s="311" t="s">
        <v>29</v>
      </c>
      <c r="E4" s="312" t="s">
        <v>30</v>
      </c>
      <c r="F4" s="311" t="s">
        <v>31</v>
      </c>
      <c r="G4" s="311" t="s">
        <v>105</v>
      </c>
    </row>
    <row r="5" spans="1:7" ht="18.75">
      <c r="A5" s="13"/>
      <c r="B5" s="60" t="s">
        <v>647</v>
      </c>
      <c r="C5" s="61" t="s">
        <v>78</v>
      </c>
      <c r="D5" s="61"/>
      <c r="E5" s="65">
        <v>2016</v>
      </c>
      <c r="F5" s="13" t="s">
        <v>785</v>
      </c>
      <c r="G5" s="13" t="s">
        <v>786</v>
      </c>
    </row>
    <row r="6" spans="1:7" ht="31.5">
      <c r="A6" s="13">
        <v>1</v>
      </c>
      <c r="B6" s="62" t="s">
        <v>648</v>
      </c>
      <c r="C6" s="63" t="s">
        <v>214</v>
      </c>
      <c r="D6" s="61"/>
      <c r="E6" s="65"/>
      <c r="F6" s="13"/>
      <c r="G6" s="13"/>
    </row>
    <row r="7" spans="1:7" ht="18.75">
      <c r="A7" s="13">
        <v>2</v>
      </c>
      <c r="B7" s="64" t="s">
        <v>649</v>
      </c>
      <c r="C7" s="60" t="s">
        <v>215</v>
      </c>
      <c r="D7" s="60"/>
      <c r="E7" s="229">
        <v>6268530</v>
      </c>
      <c r="F7" s="13"/>
      <c r="G7" s="13"/>
    </row>
    <row r="8" spans="1:7" ht="18.75">
      <c r="A8" s="13">
        <v>3</v>
      </c>
      <c r="B8" s="64"/>
      <c r="C8" s="60" t="s">
        <v>650</v>
      </c>
      <c r="D8" s="60"/>
      <c r="E8" s="229">
        <v>-2400210</v>
      </c>
      <c r="F8" s="13"/>
      <c r="G8" s="13"/>
    </row>
    <row r="9" spans="1:7" ht="18.75">
      <c r="A9" s="13">
        <v>4</v>
      </c>
      <c r="B9" s="64" t="s">
        <v>651</v>
      </c>
      <c r="C9" s="60" t="s">
        <v>216</v>
      </c>
      <c r="D9" s="60"/>
      <c r="E9" s="229">
        <v>11776000</v>
      </c>
      <c r="F9" s="13"/>
      <c r="G9" s="13"/>
    </row>
    <row r="10" spans="1:7" ht="15.75">
      <c r="A10" s="13">
        <v>5</v>
      </c>
      <c r="B10" s="64" t="s">
        <v>652</v>
      </c>
      <c r="C10" s="60" t="s">
        <v>217</v>
      </c>
      <c r="D10" s="60"/>
      <c r="E10" s="230">
        <v>100000</v>
      </c>
      <c r="F10" s="13"/>
      <c r="G10" s="13"/>
    </row>
    <row r="11" spans="1:7" ht="15.75">
      <c r="A11" s="13">
        <v>6</v>
      </c>
      <c r="B11" s="64" t="s">
        <v>653</v>
      </c>
      <c r="C11" s="60" t="s">
        <v>218</v>
      </c>
      <c r="D11" s="60"/>
      <c r="E11" s="230">
        <v>5100690</v>
      </c>
      <c r="F11" s="13"/>
      <c r="G11" s="13"/>
    </row>
    <row r="12" spans="1:7" ht="15.75">
      <c r="A12" s="13">
        <v>7</v>
      </c>
      <c r="B12" s="64"/>
      <c r="C12" s="60" t="s">
        <v>219</v>
      </c>
      <c r="D12" s="60"/>
      <c r="E12" s="60">
        <f>SUM(E7:E11)</f>
        <v>20845010</v>
      </c>
      <c r="F12" s="13"/>
      <c r="G12" s="13"/>
    </row>
    <row r="13" spans="1:7" ht="18.75">
      <c r="A13" s="13">
        <v>8</v>
      </c>
      <c r="B13" s="231"/>
      <c r="C13" s="62" t="s">
        <v>220</v>
      </c>
      <c r="D13" s="62"/>
      <c r="E13" s="232">
        <v>20845010</v>
      </c>
      <c r="F13" s="13"/>
      <c r="G13" s="13"/>
    </row>
    <row r="14" spans="1:7" ht="18.75">
      <c r="A14" s="13">
        <v>9</v>
      </c>
      <c r="B14" s="231"/>
      <c r="C14" s="62"/>
      <c r="D14" s="62"/>
      <c r="E14" s="232"/>
      <c r="F14" s="13"/>
      <c r="G14" s="13"/>
    </row>
    <row r="15" spans="1:7" ht="18.75">
      <c r="A15" s="13">
        <v>10</v>
      </c>
      <c r="B15" s="64" t="s">
        <v>654</v>
      </c>
      <c r="C15" s="60" t="s">
        <v>221</v>
      </c>
      <c r="D15" s="60"/>
      <c r="E15" s="229">
        <v>6000000</v>
      </c>
      <c r="F15" s="13"/>
      <c r="G15" s="13"/>
    </row>
    <row r="16" spans="1:7" ht="18.75">
      <c r="A16" s="13">
        <v>11</v>
      </c>
      <c r="B16" s="64"/>
      <c r="C16" s="60" t="s">
        <v>268</v>
      </c>
      <c r="D16" s="60"/>
      <c r="E16" s="229">
        <v>-6000000</v>
      </c>
      <c r="F16" s="13"/>
      <c r="G16" s="13"/>
    </row>
    <row r="17" spans="1:7" ht="15.75">
      <c r="A17" s="13">
        <v>12</v>
      </c>
      <c r="B17" s="64"/>
      <c r="C17" s="62" t="s">
        <v>269</v>
      </c>
      <c r="D17" s="60"/>
      <c r="E17" s="62">
        <f>E15+E16</f>
        <v>0</v>
      </c>
      <c r="F17" s="13"/>
      <c r="G17" s="13"/>
    </row>
    <row r="18" spans="1:7" ht="18.75">
      <c r="A18" s="13">
        <v>13</v>
      </c>
      <c r="B18" s="64"/>
      <c r="C18" s="60"/>
      <c r="D18" s="60"/>
      <c r="E18" s="229"/>
      <c r="F18" s="13"/>
      <c r="G18" s="13"/>
    </row>
    <row r="19" spans="1:7" ht="18.75">
      <c r="A19" s="13">
        <v>14</v>
      </c>
      <c r="B19" s="64" t="s">
        <v>655</v>
      </c>
      <c r="C19" s="60" t="s">
        <v>239</v>
      </c>
      <c r="D19" s="60"/>
      <c r="E19" s="229">
        <v>351900</v>
      </c>
      <c r="F19" s="13"/>
      <c r="G19" s="13"/>
    </row>
    <row r="20" spans="1:7" ht="15.75">
      <c r="A20" s="13">
        <v>15</v>
      </c>
      <c r="B20" s="64"/>
      <c r="C20" s="60" t="s">
        <v>268</v>
      </c>
      <c r="D20" s="60"/>
      <c r="E20" s="230">
        <v>-351900</v>
      </c>
      <c r="F20" s="13"/>
      <c r="G20" s="13"/>
    </row>
    <row r="21" spans="1:7" ht="18.75">
      <c r="A21" s="13">
        <v>16</v>
      </c>
      <c r="B21" s="64"/>
      <c r="C21" s="62" t="s">
        <v>270</v>
      </c>
      <c r="D21" s="60"/>
      <c r="E21" s="229">
        <f>SUM(E19:E20)</f>
        <v>0</v>
      </c>
      <c r="F21" s="13"/>
      <c r="G21" s="13"/>
    </row>
    <row r="22" spans="1:7" ht="18.75">
      <c r="A22" s="13">
        <v>17</v>
      </c>
      <c r="B22" s="64"/>
      <c r="C22" s="60"/>
      <c r="D22" s="60"/>
      <c r="E22" s="229"/>
      <c r="F22" s="13"/>
      <c r="G22" s="13"/>
    </row>
    <row r="23" spans="1:7" ht="18.75">
      <c r="A23" s="13">
        <v>18</v>
      </c>
      <c r="B23" s="64" t="s">
        <v>656</v>
      </c>
      <c r="C23" s="60" t="s">
        <v>238</v>
      </c>
      <c r="D23" s="60"/>
      <c r="E23" s="229">
        <v>36573800</v>
      </c>
      <c r="F23" s="13"/>
      <c r="G23" s="13"/>
    </row>
    <row r="24" spans="1:7" ht="15.75">
      <c r="A24" s="13">
        <v>19</v>
      </c>
      <c r="B24" s="64"/>
      <c r="C24" s="60" t="s">
        <v>268</v>
      </c>
      <c r="D24" s="60"/>
      <c r="E24" s="230">
        <v>0</v>
      </c>
      <c r="F24" s="13"/>
      <c r="G24" s="13"/>
    </row>
    <row r="25" spans="1:7" ht="15.75">
      <c r="A25" s="13">
        <v>20</v>
      </c>
      <c r="B25" s="64"/>
      <c r="C25" s="62" t="s">
        <v>271</v>
      </c>
      <c r="D25" s="62"/>
      <c r="E25" s="62">
        <f>SUM(E23:E24)</f>
        <v>36573800</v>
      </c>
      <c r="F25" s="13"/>
      <c r="G25" s="13"/>
    </row>
    <row r="26" spans="1:7" ht="18.75">
      <c r="A26" s="13">
        <v>21</v>
      </c>
      <c r="B26" s="64"/>
      <c r="C26" s="60"/>
      <c r="D26" s="60"/>
      <c r="E26" s="229"/>
      <c r="F26" s="13"/>
      <c r="G26" s="13"/>
    </row>
    <row r="27" spans="1:7" ht="15.75">
      <c r="A27" s="13">
        <v>22</v>
      </c>
      <c r="B27" s="231" t="s">
        <v>648</v>
      </c>
      <c r="C27" s="62" t="s">
        <v>214</v>
      </c>
      <c r="D27" s="62"/>
      <c r="E27" s="62">
        <f>SUM(E13+E17+E21+E25)</f>
        <v>57418810</v>
      </c>
      <c r="F27" s="13">
        <v>57509</v>
      </c>
      <c r="G27" s="13">
        <v>30045</v>
      </c>
    </row>
    <row r="28" spans="1:7" ht="18.75">
      <c r="A28" s="13">
        <v>23</v>
      </c>
      <c r="B28" s="64"/>
      <c r="C28" s="60" t="s">
        <v>268</v>
      </c>
      <c r="D28" s="233">
        <v>8752110</v>
      </c>
      <c r="E28" s="229"/>
      <c r="F28" s="13"/>
      <c r="G28" s="13"/>
    </row>
    <row r="29" spans="1:7" ht="18.75">
      <c r="A29" s="13">
        <v>24</v>
      </c>
      <c r="B29" s="64"/>
      <c r="C29" s="60"/>
      <c r="D29" s="233"/>
      <c r="E29" s="229"/>
      <c r="F29" s="13"/>
      <c r="G29" s="13"/>
    </row>
    <row r="30" spans="1:7" ht="18.75">
      <c r="A30" s="13">
        <v>25</v>
      </c>
      <c r="B30" s="64"/>
      <c r="C30" s="60"/>
      <c r="D30" s="233"/>
      <c r="E30" s="229"/>
      <c r="F30" s="13"/>
      <c r="G30" s="13"/>
    </row>
    <row r="31" spans="1:7" ht="18.75">
      <c r="A31" s="13">
        <v>26</v>
      </c>
      <c r="B31" s="64"/>
      <c r="C31" s="60"/>
      <c r="D31" s="233"/>
      <c r="E31" s="229"/>
      <c r="F31" s="13"/>
      <c r="G31" s="13"/>
    </row>
    <row r="32" spans="1:7" ht="18.75">
      <c r="A32" s="13">
        <v>27</v>
      </c>
      <c r="B32" s="64" t="s">
        <v>334</v>
      </c>
      <c r="C32" s="60" t="s">
        <v>222</v>
      </c>
      <c r="D32" s="60"/>
      <c r="E32" s="229"/>
      <c r="F32" s="13"/>
      <c r="G32" s="13"/>
    </row>
    <row r="33" spans="1:7" ht="18.75">
      <c r="A33" s="13">
        <v>28</v>
      </c>
      <c r="B33" s="64" t="s">
        <v>223</v>
      </c>
      <c r="C33" s="60" t="s">
        <v>224</v>
      </c>
      <c r="D33" s="234"/>
      <c r="E33" s="229">
        <v>21457600</v>
      </c>
      <c r="F33" s="13"/>
      <c r="G33" s="13"/>
    </row>
    <row r="34" spans="1:7" ht="18.75">
      <c r="A34" s="13">
        <v>29</v>
      </c>
      <c r="B34" s="64"/>
      <c r="C34" s="60" t="s">
        <v>225</v>
      </c>
      <c r="D34" s="234"/>
      <c r="E34" s="229">
        <v>10637600</v>
      </c>
      <c r="F34" s="13"/>
      <c r="G34" s="13"/>
    </row>
    <row r="35" spans="1:7" ht="18.75">
      <c r="A35" s="13">
        <v>30</v>
      </c>
      <c r="B35" s="64" t="s">
        <v>226</v>
      </c>
      <c r="C35" s="67" t="s">
        <v>227</v>
      </c>
      <c r="D35" s="60"/>
      <c r="E35" s="229">
        <v>2880000</v>
      </c>
      <c r="F35" s="13"/>
      <c r="G35" s="13"/>
    </row>
    <row r="36" spans="1:7" ht="18.75">
      <c r="A36" s="13">
        <v>31</v>
      </c>
      <c r="B36" s="64"/>
      <c r="C36" s="67" t="s">
        <v>228</v>
      </c>
      <c r="D36" s="60"/>
      <c r="E36" s="229">
        <v>1360000</v>
      </c>
      <c r="F36" s="13"/>
      <c r="G36" s="13"/>
    </row>
    <row r="37" spans="1:7" ht="15.75">
      <c r="A37" s="13">
        <v>32</v>
      </c>
      <c r="B37" s="62" t="s">
        <v>334</v>
      </c>
      <c r="C37" s="62" t="s">
        <v>229</v>
      </c>
      <c r="D37" s="62"/>
      <c r="E37" s="62">
        <f>SUM(E33:E36)</f>
        <v>36335200</v>
      </c>
      <c r="F37" s="13">
        <v>36335</v>
      </c>
      <c r="G37" s="13">
        <v>18496</v>
      </c>
    </row>
    <row r="38" spans="1:7" ht="18.75">
      <c r="A38" s="13">
        <v>33</v>
      </c>
      <c r="B38" s="60"/>
      <c r="C38" s="60"/>
      <c r="D38" s="60"/>
      <c r="E38" s="229"/>
      <c r="F38" s="13"/>
      <c r="G38" s="13"/>
    </row>
    <row r="39" spans="1:7" ht="32.25">
      <c r="A39" s="13">
        <v>34</v>
      </c>
      <c r="B39" s="60" t="s">
        <v>336</v>
      </c>
      <c r="C39" s="68" t="s">
        <v>657</v>
      </c>
      <c r="D39" s="60"/>
      <c r="E39" s="229"/>
      <c r="F39" s="13"/>
      <c r="G39" s="13"/>
    </row>
    <row r="40" spans="1:7" ht="15.75">
      <c r="A40" s="13">
        <v>35</v>
      </c>
      <c r="B40" s="60"/>
      <c r="C40" s="62"/>
      <c r="D40" s="62"/>
      <c r="E40" s="62"/>
      <c r="F40" s="13"/>
      <c r="G40" s="13"/>
    </row>
    <row r="41" spans="1:7" ht="15.75">
      <c r="A41" s="13">
        <v>36</v>
      </c>
      <c r="B41" s="60" t="s">
        <v>226</v>
      </c>
      <c r="C41" s="62" t="s">
        <v>230</v>
      </c>
      <c r="D41" s="62"/>
      <c r="E41" s="62">
        <v>4715173</v>
      </c>
      <c r="F41" s="13"/>
      <c r="G41" s="13"/>
    </row>
    <row r="42" spans="1:7" ht="18.75">
      <c r="A42" s="13">
        <v>37</v>
      </c>
      <c r="B42" s="60" t="s">
        <v>231</v>
      </c>
      <c r="C42" s="62" t="s">
        <v>232</v>
      </c>
      <c r="D42" s="60"/>
      <c r="E42" s="229"/>
      <c r="F42" s="13"/>
      <c r="G42" s="13"/>
    </row>
    <row r="43" spans="1:7" ht="18.75">
      <c r="A43" s="13">
        <v>38</v>
      </c>
      <c r="B43" s="60" t="s">
        <v>658</v>
      </c>
      <c r="C43" s="60" t="s">
        <v>22</v>
      </c>
      <c r="D43" s="60">
        <v>55360</v>
      </c>
      <c r="E43" s="229">
        <v>664320</v>
      </c>
      <c r="F43" s="13"/>
      <c r="G43" s="13"/>
    </row>
    <row r="44" spans="1:7" ht="18.75">
      <c r="A44" s="13">
        <v>39</v>
      </c>
      <c r="B44" s="60" t="s">
        <v>659</v>
      </c>
      <c r="C44" s="60" t="s">
        <v>660</v>
      </c>
      <c r="D44" s="60">
        <v>2500000</v>
      </c>
      <c r="E44" s="229">
        <v>2500000</v>
      </c>
      <c r="F44" s="13"/>
      <c r="G44" s="13"/>
    </row>
    <row r="45" spans="1:7" ht="18.75">
      <c r="A45" s="13">
        <v>40</v>
      </c>
      <c r="B45" s="60" t="s">
        <v>661</v>
      </c>
      <c r="C45" s="60" t="s">
        <v>233</v>
      </c>
      <c r="D45" s="60"/>
      <c r="E45" s="229"/>
      <c r="F45" s="13"/>
      <c r="G45" s="13"/>
    </row>
    <row r="46" spans="1:7" ht="15.75">
      <c r="A46" s="13">
        <v>41</v>
      </c>
      <c r="B46" s="60"/>
      <c r="C46" s="62" t="s">
        <v>4</v>
      </c>
      <c r="D46" s="62"/>
      <c r="E46" s="62">
        <f>SUM(E43:E45)</f>
        <v>3164320</v>
      </c>
      <c r="F46" s="13"/>
      <c r="G46" s="13"/>
    </row>
    <row r="47" spans="1:7" ht="18.75">
      <c r="A47" s="13">
        <v>42</v>
      </c>
      <c r="B47" s="60"/>
      <c r="C47" s="62" t="s">
        <v>662</v>
      </c>
      <c r="D47" s="62"/>
      <c r="E47" s="229"/>
      <c r="F47" s="13"/>
      <c r="G47" s="13"/>
    </row>
    <row r="48" spans="1:7" ht="18.75">
      <c r="A48" s="13">
        <v>43</v>
      </c>
      <c r="B48" s="60"/>
      <c r="C48" s="62"/>
      <c r="D48" s="62"/>
      <c r="E48" s="229"/>
      <c r="F48" s="13"/>
      <c r="G48" s="13"/>
    </row>
    <row r="49" spans="1:7" ht="18.75">
      <c r="A49" s="13">
        <v>44</v>
      </c>
      <c r="B49" s="60" t="s">
        <v>234</v>
      </c>
      <c r="C49" s="62" t="s">
        <v>235</v>
      </c>
      <c r="D49" s="62"/>
      <c r="E49" s="229"/>
      <c r="F49" s="13"/>
      <c r="G49" s="13"/>
    </row>
    <row r="50" spans="1:7" ht="18.75">
      <c r="A50" s="13">
        <v>45</v>
      </c>
      <c r="B50" s="60"/>
      <c r="C50" s="62" t="s">
        <v>236</v>
      </c>
      <c r="D50" s="62"/>
      <c r="E50" s="229">
        <v>8208960</v>
      </c>
      <c r="F50" s="13"/>
      <c r="G50" s="13"/>
    </row>
    <row r="51" spans="1:7" ht="18.75">
      <c r="A51" s="13">
        <v>46</v>
      </c>
      <c r="B51" s="60"/>
      <c r="C51" s="62" t="s">
        <v>272</v>
      </c>
      <c r="D51" s="62"/>
      <c r="E51" s="229">
        <v>11571912</v>
      </c>
      <c r="F51" s="13"/>
      <c r="G51" s="13"/>
    </row>
    <row r="52" spans="1:7" ht="18.75">
      <c r="A52" s="13">
        <v>47</v>
      </c>
      <c r="B52" s="60"/>
      <c r="C52" s="62" t="s">
        <v>838</v>
      </c>
      <c r="D52" s="62"/>
      <c r="E52" s="229">
        <v>268290</v>
      </c>
      <c r="F52" s="13"/>
      <c r="G52" s="13"/>
    </row>
    <row r="53" spans="1:7" ht="18.75">
      <c r="A53" s="13">
        <v>48</v>
      </c>
      <c r="B53" s="60"/>
      <c r="C53" s="62" t="s">
        <v>273</v>
      </c>
      <c r="D53" s="62"/>
      <c r="E53" s="232">
        <f>SUM(E50:E52)</f>
        <v>20049162</v>
      </c>
      <c r="F53" s="13"/>
      <c r="G53" s="13"/>
    </row>
    <row r="54" spans="1:7" ht="18.75">
      <c r="A54" s="13">
        <v>49</v>
      </c>
      <c r="B54" s="60"/>
      <c r="C54" s="62"/>
      <c r="D54" s="62"/>
      <c r="E54" s="232"/>
      <c r="F54" s="13"/>
      <c r="G54" s="13"/>
    </row>
    <row r="55" spans="1:7" ht="32.25">
      <c r="A55" s="13">
        <v>50</v>
      </c>
      <c r="B55" s="60" t="s">
        <v>336</v>
      </c>
      <c r="C55" s="68" t="s">
        <v>657</v>
      </c>
      <c r="D55" s="62"/>
      <c r="E55" s="232">
        <f>SUM(E53+E46+E41)</f>
        <v>27928655</v>
      </c>
      <c r="F55" s="13">
        <v>28193</v>
      </c>
      <c r="G55" s="13">
        <v>14800</v>
      </c>
    </row>
    <row r="56" spans="1:7" ht="18.75">
      <c r="A56" s="13">
        <v>51</v>
      </c>
      <c r="B56" s="60"/>
      <c r="C56" s="62"/>
      <c r="D56" s="62"/>
      <c r="E56" s="229"/>
      <c r="F56" s="13"/>
      <c r="G56" s="13"/>
    </row>
    <row r="57" spans="1:7" ht="15.75">
      <c r="A57" s="13">
        <v>52</v>
      </c>
      <c r="B57" s="62"/>
      <c r="C57" s="62" t="s">
        <v>237</v>
      </c>
      <c r="D57" s="62"/>
      <c r="E57" s="62">
        <f>E55+E37+E27</f>
        <v>121682665</v>
      </c>
      <c r="F57" s="62">
        <f>F55+F37+F27</f>
        <v>122037</v>
      </c>
      <c r="G57" s="62">
        <f>G55+G37+G27</f>
        <v>63341</v>
      </c>
    </row>
    <row r="58" spans="1:7" ht="18.75">
      <c r="A58" s="13">
        <v>53</v>
      </c>
      <c r="B58" s="60"/>
      <c r="C58" s="60"/>
      <c r="D58" s="60"/>
      <c r="E58" s="229"/>
      <c r="F58" s="13"/>
      <c r="G58" s="13"/>
    </row>
    <row r="59" spans="1:7" ht="18.75">
      <c r="A59" s="13">
        <v>54</v>
      </c>
      <c r="B59" s="60"/>
      <c r="C59" s="66" t="s">
        <v>104</v>
      </c>
      <c r="D59" s="66"/>
      <c r="E59" s="229">
        <v>1594860</v>
      </c>
      <c r="F59" s="13">
        <v>1595</v>
      </c>
      <c r="G59" s="13">
        <v>829</v>
      </c>
    </row>
    <row r="60" spans="1:7" ht="18.75">
      <c r="A60" s="13">
        <v>55</v>
      </c>
      <c r="B60" s="60"/>
      <c r="C60" s="66" t="s">
        <v>784</v>
      </c>
      <c r="D60" s="66"/>
      <c r="E60" s="229">
        <v>1280048</v>
      </c>
      <c r="F60" s="13">
        <v>947</v>
      </c>
      <c r="G60" s="13">
        <v>948</v>
      </c>
    </row>
    <row r="61" spans="1:7" ht="18.75">
      <c r="A61" s="13">
        <v>56</v>
      </c>
      <c r="B61" s="60"/>
      <c r="C61" s="66" t="s">
        <v>839</v>
      </c>
      <c r="D61" s="66"/>
      <c r="E61" s="229">
        <v>32640</v>
      </c>
      <c r="F61" s="13"/>
      <c r="G61" s="13"/>
    </row>
    <row r="62" spans="1:7" ht="18.75">
      <c r="A62" s="13">
        <v>57</v>
      </c>
      <c r="B62" s="60"/>
      <c r="C62" s="66" t="s">
        <v>840</v>
      </c>
      <c r="D62" s="66"/>
      <c r="E62" s="229">
        <v>550000</v>
      </c>
      <c r="F62" s="13"/>
      <c r="G62" s="13"/>
    </row>
    <row r="63" spans="1:7" ht="18.75">
      <c r="A63" s="13">
        <v>58</v>
      </c>
      <c r="B63" s="60"/>
      <c r="C63" s="66" t="s">
        <v>841</v>
      </c>
      <c r="D63" s="66"/>
      <c r="E63" s="229">
        <v>228635</v>
      </c>
      <c r="F63" s="13"/>
      <c r="G63" s="13"/>
    </row>
    <row r="64" spans="1:7" ht="18.75">
      <c r="A64" s="13">
        <v>59</v>
      </c>
      <c r="B64" s="60"/>
      <c r="C64" s="66" t="s">
        <v>842</v>
      </c>
      <c r="D64" s="66"/>
      <c r="E64" s="229">
        <v>9900400</v>
      </c>
      <c r="F64" s="13"/>
      <c r="G64" s="13"/>
    </row>
    <row r="65" spans="1:7" ht="15.75">
      <c r="A65" s="13">
        <v>60</v>
      </c>
      <c r="B65" s="66"/>
      <c r="C65" s="60" t="s">
        <v>240</v>
      </c>
      <c r="D65" s="233"/>
      <c r="E65" s="62">
        <f>E57+E59+E60+E61+E62+E63+E64</f>
        <v>135269248</v>
      </c>
      <c r="F65" s="13">
        <f>F57+F59+F60</f>
        <v>124579</v>
      </c>
      <c r="G65" s="13">
        <f>G57+G59+G60</f>
        <v>65118</v>
      </c>
    </row>
  </sheetData>
  <sheetProtection/>
  <mergeCells count="2">
    <mergeCell ref="B2:E2"/>
    <mergeCell ref="B1:D1"/>
  </mergeCells>
  <printOptions/>
  <pageMargins left="0.7" right="0.7" top="0.75" bottom="0.75" header="0.3" footer="0.3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Y62"/>
  <sheetViews>
    <sheetView view="pageBreakPreview" zoomScale="89" zoomScaleSheetLayoutView="89" zoomScalePageLayoutView="0" workbookViewId="0" topLeftCell="Q32">
      <selection activeCell="C53" sqref="C53"/>
    </sheetView>
  </sheetViews>
  <sheetFormatPr defaultColWidth="9.140625" defaultRowHeight="15"/>
  <cols>
    <col min="3" max="3" width="50.28125" style="0" customWidth="1"/>
    <col min="4" max="4" width="9.28125" style="0" customWidth="1"/>
    <col min="5" max="5" width="9.140625" style="0" customWidth="1"/>
    <col min="6" max="6" width="8.28125" style="0" customWidth="1"/>
    <col min="7" max="7" width="9.57421875" style="0" customWidth="1"/>
    <col min="8" max="8" width="8.28125" style="0" customWidth="1"/>
    <col min="9" max="9" width="8.57421875" style="0" customWidth="1"/>
    <col min="10" max="10" width="8.421875" style="0" customWidth="1"/>
    <col min="11" max="13" width="8.00390625" style="0" customWidth="1"/>
    <col min="14" max="15" width="9.421875" style="0" customWidth="1"/>
    <col min="16" max="16" width="9.00390625" style="0" customWidth="1"/>
    <col min="17" max="17" width="10.421875" style="0" customWidth="1"/>
    <col min="18" max="18" width="10.8515625" style="0" customWidth="1"/>
    <col min="19" max="20" width="8.57421875" style="0" customWidth="1"/>
    <col min="21" max="23" width="8.7109375" style="0" customWidth="1"/>
    <col min="24" max="24" width="10.140625" style="0" customWidth="1"/>
    <col min="25" max="25" width="9.421875" style="0" customWidth="1"/>
    <col min="26" max="28" width="10.140625" style="0" customWidth="1"/>
    <col min="29" max="29" width="7.421875" style="0" customWidth="1"/>
    <col min="30" max="30" width="8.140625" style="0" customWidth="1"/>
    <col min="31" max="31" width="6.28125" style="0" customWidth="1"/>
    <col min="32" max="32" width="7.8515625" style="0" customWidth="1"/>
    <col min="33" max="33" width="8.421875" style="0" customWidth="1"/>
    <col min="34" max="34" width="8.140625" style="0" customWidth="1"/>
    <col min="35" max="35" width="8.00390625" style="0" customWidth="1"/>
    <col min="36" max="36" width="8.7109375" style="0" customWidth="1"/>
    <col min="37" max="38" width="9.421875" style="0" customWidth="1"/>
    <col min="39" max="39" width="8.57421875" style="0" customWidth="1"/>
    <col min="40" max="40" width="8.28125" style="0" customWidth="1"/>
    <col min="41" max="43" width="9.421875" style="0" customWidth="1"/>
    <col min="44" max="44" width="9.140625" style="11" customWidth="1"/>
    <col min="45" max="45" width="8.57421875" style="0" customWidth="1"/>
    <col min="47" max="47" width="9.7109375" style="0" customWidth="1"/>
    <col min="50" max="50" width="10.57421875" style="0" bestFit="1" customWidth="1"/>
  </cols>
  <sheetData>
    <row r="1" spans="1:8" ht="18.75">
      <c r="A1" s="369" t="s">
        <v>854</v>
      </c>
      <c r="B1" s="370"/>
      <c r="C1" s="371"/>
      <c r="D1" s="112"/>
      <c r="E1" s="112"/>
      <c r="F1" s="112"/>
      <c r="G1" s="112"/>
      <c r="H1" s="112"/>
    </row>
    <row r="2" spans="3:8" ht="18">
      <c r="C2" s="32" t="s">
        <v>349</v>
      </c>
      <c r="D2" s="33"/>
      <c r="E2" s="33"/>
      <c r="F2" s="33"/>
      <c r="G2" s="33"/>
      <c r="H2" s="33"/>
    </row>
    <row r="3" spans="3:8" ht="18">
      <c r="C3" s="32"/>
      <c r="D3" s="33"/>
      <c r="E3" s="33"/>
      <c r="F3" s="33"/>
      <c r="G3" s="33"/>
      <c r="H3" s="33"/>
    </row>
    <row r="4" spans="3:8" ht="18">
      <c r="C4" s="32"/>
      <c r="D4" s="33"/>
      <c r="E4" s="33"/>
      <c r="F4" s="33"/>
      <c r="G4" s="33"/>
      <c r="H4" s="33"/>
    </row>
    <row r="5" spans="1:49" s="109" customFormat="1" ht="15">
      <c r="A5" s="12"/>
      <c r="B5" s="12" t="s">
        <v>27</v>
      </c>
      <c r="C5" s="12" t="s">
        <v>28</v>
      </c>
      <c r="D5" s="12" t="s">
        <v>29</v>
      </c>
      <c r="E5" s="12" t="s">
        <v>30</v>
      </c>
      <c r="F5" s="12" t="s">
        <v>31</v>
      </c>
      <c r="G5" s="12" t="s">
        <v>105</v>
      </c>
      <c r="H5" s="12" t="s">
        <v>60</v>
      </c>
      <c r="I5" s="12" t="s">
        <v>61</v>
      </c>
      <c r="J5" s="12" t="s">
        <v>62</v>
      </c>
      <c r="K5" s="12" t="s">
        <v>63</v>
      </c>
      <c r="L5" s="12" t="s">
        <v>64</v>
      </c>
      <c r="M5" s="12" t="s">
        <v>65</v>
      </c>
      <c r="N5" s="12" t="s">
        <v>66</v>
      </c>
      <c r="O5" s="12" t="s">
        <v>67</v>
      </c>
      <c r="P5" s="12" t="s">
        <v>146</v>
      </c>
      <c r="Q5" s="12" t="s">
        <v>68</v>
      </c>
      <c r="R5" s="12" t="s">
        <v>147</v>
      </c>
      <c r="S5" s="12" t="s">
        <v>69</v>
      </c>
      <c r="T5" s="12" t="s">
        <v>70</v>
      </c>
      <c r="U5" s="12" t="s">
        <v>855</v>
      </c>
      <c r="V5" s="12" t="s">
        <v>72</v>
      </c>
      <c r="W5" s="12" t="s">
        <v>73</v>
      </c>
      <c r="X5" s="12" t="s">
        <v>74</v>
      </c>
      <c r="Y5" s="12" t="s">
        <v>75</v>
      </c>
      <c r="Z5" s="12" t="s">
        <v>76</v>
      </c>
      <c r="AA5" s="12" t="s">
        <v>77</v>
      </c>
      <c r="AB5" s="12" t="s">
        <v>307</v>
      </c>
      <c r="AC5" s="12" t="s">
        <v>188</v>
      </c>
      <c r="AD5" s="12" t="s">
        <v>189</v>
      </c>
      <c r="AE5" s="12" t="s">
        <v>190</v>
      </c>
      <c r="AF5" s="12" t="s">
        <v>191</v>
      </c>
      <c r="AG5" s="12" t="s">
        <v>192</v>
      </c>
      <c r="AH5" s="12" t="s">
        <v>308</v>
      </c>
      <c r="AI5" s="12" t="s">
        <v>309</v>
      </c>
      <c r="AJ5" s="12" t="s">
        <v>310</v>
      </c>
      <c r="AK5" s="12" t="s">
        <v>311</v>
      </c>
      <c r="AL5" s="12" t="s">
        <v>312</v>
      </c>
      <c r="AM5" s="12" t="s">
        <v>313</v>
      </c>
      <c r="AN5" s="12" t="s">
        <v>314</v>
      </c>
      <c r="AO5" s="12" t="s">
        <v>315</v>
      </c>
      <c r="AP5" s="12" t="s">
        <v>316</v>
      </c>
      <c r="AQ5" s="12" t="s">
        <v>193</v>
      </c>
      <c r="AR5" s="12" t="s">
        <v>194</v>
      </c>
      <c r="AS5" s="12" t="s">
        <v>195</v>
      </c>
      <c r="AT5" s="12" t="s">
        <v>317</v>
      </c>
      <c r="AU5" s="12" t="s">
        <v>196</v>
      </c>
      <c r="AV5" s="12" t="s">
        <v>197</v>
      </c>
      <c r="AW5" s="257" t="s">
        <v>198</v>
      </c>
    </row>
    <row r="6" spans="1:49" ht="26.25" customHeight="1">
      <c r="A6" s="13">
        <v>1</v>
      </c>
      <c r="B6" s="13"/>
      <c r="C6" s="34" t="s">
        <v>78</v>
      </c>
      <c r="D6" s="363" t="s">
        <v>106</v>
      </c>
      <c r="E6" s="364"/>
      <c r="F6" s="364"/>
      <c r="G6" s="292"/>
      <c r="H6" s="292"/>
      <c r="I6" s="365" t="s">
        <v>107</v>
      </c>
      <c r="J6" s="366"/>
      <c r="K6" s="366"/>
      <c r="L6" s="294"/>
      <c r="M6" s="294"/>
      <c r="N6" s="363" t="s">
        <v>108</v>
      </c>
      <c r="O6" s="364"/>
      <c r="P6" s="364"/>
      <c r="Q6" s="292"/>
      <c r="R6" s="292"/>
      <c r="S6" s="363" t="s">
        <v>109</v>
      </c>
      <c r="T6" s="364"/>
      <c r="U6" s="364"/>
      <c r="V6" s="292"/>
      <c r="W6" s="292"/>
      <c r="X6" s="363" t="s">
        <v>110</v>
      </c>
      <c r="Y6" s="364"/>
      <c r="Z6" s="364"/>
      <c r="AA6" s="292"/>
      <c r="AB6" s="292"/>
      <c r="AC6" s="363" t="s">
        <v>111</v>
      </c>
      <c r="AD6" s="364"/>
      <c r="AE6" s="364"/>
      <c r="AF6" s="292"/>
      <c r="AG6" s="293"/>
      <c r="AH6" s="365" t="s">
        <v>112</v>
      </c>
      <c r="AI6" s="366"/>
      <c r="AJ6" s="366"/>
      <c r="AK6" s="294"/>
      <c r="AL6" s="294"/>
      <c r="AM6" s="363" t="s">
        <v>113</v>
      </c>
      <c r="AN6" s="364"/>
      <c r="AO6" s="364"/>
      <c r="AP6" s="292"/>
      <c r="AQ6" s="293"/>
      <c r="AR6" s="367" t="s">
        <v>114</v>
      </c>
      <c r="AS6" s="367"/>
      <c r="AT6" s="368"/>
      <c r="AU6" s="295"/>
      <c r="AV6" s="296"/>
      <c r="AW6" s="258"/>
    </row>
    <row r="7" spans="1:49" ht="25.5">
      <c r="A7" s="13">
        <v>2</v>
      </c>
      <c r="B7" s="13"/>
      <c r="C7" s="34"/>
      <c r="D7" s="35" t="s">
        <v>329</v>
      </c>
      <c r="E7" s="35" t="s">
        <v>772</v>
      </c>
      <c r="F7" s="35" t="s">
        <v>773</v>
      </c>
      <c r="G7" s="35" t="s">
        <v>827</v>
      </c>
      <c r="H7" s="35" t="s">
        <v>828</v>
      </c>
      <c r="I7" s="35" t="s">
        <v>329</v>
      </c>
      <c r="J7" s="35" t="s">
        <v>772</v>
      </c>
      <c r="K7" s="35" t="s">
        <v>773</v>
      </c>
      <c r="L7" s="35" t="s">
        <v>832</v>
      </c>
      <c r="M7" s="35" t="s">
        <v>828</v>
      </c>
      <c r="N7" s="35" t="s">
        <v>329</v>
      </c>
      <c r="O7" s="35" t="s">
        <v>772</v>
      </c>
      <c r="P7" s="35" t="s">
        <v>773</v>
      </c>
      <c r="Q7" s="35" t="s">
        <v>827</v>
      </c>
      <c r="R7" s="35" t="s">
        <v>828</v>
      </c>
      <c r="S7" s="35" t="s">
        <v>329</v>
      </c>
      <c r="T7" s="35" t="s">
        <v>772</v>
      </c>
      <c r="U7" s="35" t="s">
        <v>773</v>
      </c>
      <c r="V7" s="35" t="s">
        <v>833</v>
      </c>
      <c r="W7" s="35" t="s">
        <v>828</v>
      </c>
      <c r="X7" s="35" t="s">
        <v>329</v>
      </c>
      <c r="Y7" s="35" t="s">
        <v>772</v>
      </c>
      <c r="Z7" s="35" t="s">
        <v>773</v>
      </c>
      <c r="AA7" s="35" t="s">
        <v>827</v>
      </c>
      <c r="AB7" s="35" t="s">
        <v>828</v>
      </c>
      <c r="AC7" s="35" t="s">
        <v>329</v>
      </c>
      <c r="AD7" s="35" t="s">
        <v>772</v>
      </c>
      <c r="AE7" s="35" t="s">
        <v>773</v>
      </c>
      <c r="AF7" s="35" t="s">
        <v>834</v>
      </c>
      <c r="AG7" s="35" t="s">
        <v>828</v>
      </c>
      <c r="AH7" s="35" t="s">
        <v>329</v>
      </c>
      <c r="AI7" s="35" t="s">
        <v>772</v>
      </c>
      <c r="AJ7" s="35" t="s">
        <v>773</v>
      </c>
      <c r="AK7" s="35" t="s">
        <v>827</v>
      </c>
      <c r="AL7" s="35" t="s">
        <v>828</v>
      </c>
      <c r="AM7" s="35" t="s">
        <v>329</v>
      </c>
      <c r="AN7" s="35" t="s">
        <v>772</v>
      </c>
      <c r="AO7" s="35" t="s">
        <v>773</v>
      </c>
      <c r="AP7" s="35" t="s">
        <v>827</v>
      </c>
      <c r="AQ7" s="35" t="s">
        <v>828</v>
      </c>
      <c r="AR7" s="35" t="s">
        <v>329</v>
      </c>
      <c r="AS7" s="35" t="s">
        <v>772</v>
      </c>
      <c r="AT7" s="35" t="s">
        <v>773</v>
      </c>
      <c r="AU7" s="35" t="s">
        <v>833</v>
      </c>
      <c r="AV7" s="35" t="s">
        <v>828</v>
      </c>
      <c r="AW7" s="259" t="s">
        <v>821</v>
      </c>
    </row>
    <row r="8" spans="1:49" ht="15">
      <c r="A8" s="13">
        <v>3</v>
      </c>
      <c r="B8" s="37">
        <v>841112</v>
      </c>
      <c r="C8" s="34" t="s">
        <v>37</v>
      </c>
      <c r="D8" s="38">
        <v>7328</v>
      </c>
      <c r="E8" s="38">
        <v>7187</v>
      </c>
      <c r="F8" s="38">
        <v>3517</v>
      </c>
      <c r="G8" s="38">
        <v>6942</v>
      </c>
      <c r="H8" s="38">
        <v>5179</v>
      </c>
      <c r="I8" s="39">
        <v>1952</v>
      </c>
      <c r="J8" s="39">
        <v>1912</v>
      </c>
      <c r="K8" s="39">
        <v>910</v>
      </c>
      <c r="L8" s="39">
        <v>1859</v>
      </c>
      <c r="M8" s="39">
        <v>1345</v>
      </c>
      <c r="N8" s="38">
        <v>4295</v>
      </c>
      <c r="O8" s="38">
        <v>9191</v>
      </c>
      <c r="P8" s="38">
        <v>6176</v>
      </c>
      <c r="Q8" s="38">
        <v>9622</v>
      </c>
      <c r="R8" s="38">
        <v>7489</v>
      </c>
      <c r="S8" s="38"/>
      <c r="T8" s="38"/>
      <c r="U8" s="38"/>
      <c r="V8" s="38">
        <v>5355</v>
      </c>
      <c r="W8" s="38">
        <v>1789</v>
      </c>
      <c r="X8" s="38">
        <f>D8+I8+N8+S8</f>
        <v>13575</v>
      </c>
      <c r="Y8" s="38">
        <f aca="true" t="shared" si="0" ref="Y8:Y16">T8+O8+J8+E8</f>
        <v>18290</v>
      </c>
      <c r="Z8" s="38">
        <f aca="true" t="shared" si="1" ref="Z8:Z16">U8+P8+K8+F8</f>
        <v>10603</v>
      </c>
      <c r="AA8" s="38">
        <f aca="true" t="shared" si="2" ref="AA8:AA16">V8+Q8+L8+G8</f>
        <v>23778</v>
      </c>
      <c r="AB8" s="38">
        <f aca="true" t="shared" si="3" ref="AB8:AB16">W8+R8+M8+H8</f>
        <v>15802</v>
      </c>
      <c r="AC8" s="38"/>
      <c r="AD8" s="38"/>
      <c r="AE8" s="38"/>
      <c r="AF8" s="38"/>
      <c r="AG8" s="38"/>
      <c r="AH8" s="36"/>
      <c r="AI8" s="36"/>
      <c r="AJ8" s="36"/>
      <c r="AK8" s="36"/>
      <c r="AL8" s="36"/>
      <c r="AM8" s="36">
        <f>AC8+AH8</f>
        <v>0</v>
      </c>
      <c r="AN8" s="36">
        <f>AD8+AI8</f>
        <v>0</v>
      </c>
      <c r="AO8" s="36">
        <f>AE8+AJ8</f>
        <v>0</v>
      </c>
      <c r="AP8" s="36">
        <v>0</v>
      </c>
      <c r="AQ8" s="36">
        <v>0</v>
      </c>
      <c r="AR8" s="35">
        <f>X8+AM8</f>
        <v>13575</v>
      </c>
      <c r="AS8" s="35">
        <f>Y8+AN8</f>
        <v>18290</v>
      </c>
      <c r="AT8" s="35">
        <f>Z8+AO8</f>
        <v>10603</v>
      </c>
      <c r="AU8" s="35">
        <f>AP8+AA8</f>
        <v>23778</v>
      </c>
      <c r="AV8" s="35">
        <f>AQ8+AB8</f>
        <v>15802</v>
      </c>
      <c r="AW8" s="260">
        <f>AV8/AU8</f>
        <v>0.6645638825805367</v>
      </c>
    </row>
    <row r="9" spans="1:49" ht="15">
      <c r="A9" s="13">
        <v>4</v>
      </c>
      <c r="B9" s="37"/>
      <c r="C9" s="34" t="s">
        <v>345</v>
      </c>
      <c r="D9" s="38"/>
      <c r="E9" s="38"/>
      <c r="F9" s="38"/>
      <c r="G9" s="38"/>
      <c r="H9" s="38"/>
      <c r="I9" s="39"/>
      <c r="J9" s="39"/>
      <c r="K9" s="39"/>
      <c r="L9" s="39"/>
      <c r="M9" s="39"/>
      <c r="N9" s="38"/>
      <c r="O9" s="38"/>
      <c r="P9" s="38"/>
      <c r="Q9" s="38"/>
      <c r="R9" s="38"/>
      <c r="S9" s="38">
        <v>23387</v>
      </c>
      <c r="T9" s="38">
        <f>23644</f>
        <v>23644</v>
      </c>
      <c r="U9" s="38">
        <v>13546</v>
      </c>
      <c r="V9" s="38">
        <v>24064</v>
      </c>
      <c r="W9" s="38">
        <v>17975</v>
      </c>
      <c r="X9" s="38">
        <f aca="true" t="shared" si="4" ref="X9:X14">S9+N9+I9+D9</f>
        <v>23387</v>
      </c>
      <c r="Y9" s="38">
        <f t="shared" si="0"/>
        <v>23644</v>
      </c>
      <c r="Z9" s="38">
        <f t="shared" si="1"/>
        <v>13546</v>
      </c>
      <c r="AA9" s="38">
        <f t="shared" si="2"/>
        <v>24064</v>
      </c>
      <c r="AB9" s="38">
        <f t="shared" si="3"/>
        <v>17975</v>
      </c>
      <c r="AC9" s="38"/>
      <c r="AD9" s="38"/>
      <c r="AE9" s="38"/>
      <c r="AF9" s="38"/>
      <c r="AG9" s="38"/>
      <c r="AH9" s="36"/>
      <c r="AI9" s="36"/>
      <c r="AJ9" s="36"/>
      <c r="AK9" s="36"/>
      <c r="AL9" s="36"/>
      <c r="AM9" s="36">
        <v>0</v>
      </c>
      <c r="AN9" s="36">
        <f>AD9+AI9</f>
        <v>0</v>
      </c>
      <c r="AO9" s="36">
        <f>AE9+AJ9</f>
        <v>0</v>
      </c>
      <c r="AP9" s="36">
        <v>0</v>
      </c>
      <c r="AQ9" s="36">
        <v>0</v>
      </c>
      <c r="AR9" s="35">
        <f aca="true" t="shared" si="5" ref="AR9:AR15">X9+AM9</f>
        <v>23387</v>
      </c>
      <c r="AS9" s="35">
        <f aca="true" t="shared" si="6" ref="AS9:AT16">Y9+AN9</f>
        <v>23644</v>
      </c>
      <c r="AT9" s="35">
        <f t="shared" si="6"/>
        <v>13546</v>
      </c>
      <c r="AU9" s="35">
        <f>AP9+AA9</f>
        <v>24064</v>
      </c>
      <c r="AV9" s="35">
        <f aca="true" t="shared" si="7" ref="AV9:AV15">AQ9+AB9</f>
        <v>17975</v>
      </c>
      <c r="AW9" s="260">
        <f>AV9/AU9</f>
        <v>0.7469664228723404</v>
      </c>
    </row>
    <row r="10" spans="1:49" ht="15">
      <c r="A10" s="13">
        <v>5</v>
      </c>
      <c r="B10" s="37"/>
      <c r="C10" s="34" t="s">
        <v>346</v>
      </c>
      <c r="D10" s="38"/>
      <c r="E10" s="38"/>
      <c r="F10" s="38"/>
      <c r="G10" s="38"/>
      <c r="H10" s="38"/>
      <c r="I10" s="39"/>
      <c r="J10" s="39"/>
      <c r="K10" s="39"/>
      <c r="L10" s="39"/>
      <c r="M10" s="39"/>
      <c r="N10" s="38"/>
      <c r="O10" s="38"/>
      <c r="P10" s="38"/>
      <c r="Q10" s="38"/>
      <c r="R10" s="38"/>
      <c r="S10" s="38">
        <v>8670</v>
      </c>
      <c r="T10" s="38">
        <v>8670</v>
      </c>
      <c r="U10" s="38">
        <v>3162</v>
      </c>
      <c r="V10" s="38">
        <v>8929</v>
      </c>
      <c r="W10" s="38">
        <v>4645</v>
      </c>
      <c r="X10" s="38">
        <f t="shared" si="4"/>
        <v>8670</v>
      </c>
      <c r="Y10" s="38">
        <f t="shared" si="0"/>
        <v>8670</v>
      </c>
      <c r="Z10" s="38">
        <f t="shared" si="1"/>
        <v>3162</v>
      </c>
      <c r="AA10" s="38">
        <f t="shared" si="2"/>
        <v>8929</v>
      </c>
      <c r="AB10" s="38">
        <f t="shared" si="3"/>
        <v>4645</v>
      </c>
      <c r="AC10" s="38"/>
      <c r="AD10" s="38"/>
      <c r="AE10" s="38"/>
      <c r="AF10" s="38"/>
      <c r="AG10" s="38"/>
      <c r="AH10" s="36"/>
      <c r="AI10" s="36"/>
      <c r="AJ10" s="36"/>
      <c r="AK10" s="36"/>
      <c r="AL10" s="36"/>
      <c r="AM10" s="36">
        <f>SUM(AC10:AH10)</f>
        <v>0</v>
      </c>
      <c r="AN10" s="36">
        <f>AD10+AI10</f>
        <v>0</v>
      </c>
      <c r="AO10" s="36">
        <f>AE10+AJ10</f>
        <v>0</v>
      </c>
      <c r="AP10" s="36">
        <v>0</v>
      </c>
      <c r="AQ10" s="36">
        <v>0</v>
      </c>
      <c r="AR10" s="35">
        <f t="shared" si="5"/>
        <v>8670</v>
      </c>
      <c r="AS10" s="35">
        <f t="shared" si="6"/>
        <v>8670</v>
      </c>
      <c r="AT10" s="35">
        <f t="shared" si="6"/>
        <v>3162</v>
      </c>
      <c r="AU10" s="35">
        <f aca="true" t="shared" si="8" ref="AU10:AU15">AP10+AA10</f>
        <v>8929</v>
      </c>
      <c r="AV10" s="35">
        <f t="shared" si="7"/>
        <v>4645</v>
      </c>
      <c r="AW10" s="260">
        <f>AV10/AU10</f>
        <v>0.5202150296785755</v>
      </c>
    </row>
    <row r="11" spans="1:49" ht="15">
      <c r="A11" s="13">
        <v>6</v>
      </c>
      <c r="B11" s="37"/>
      <c r="C11" s="34" t="s">
        <v>788</v>
      </c>
      <c r="D11" s="38"/>
      <c r="E11" s="38"/>
      <c r="F11" s="38"/>
      <c r="G11" s="38"/>
      <c r="H11" s="38"/>
      <c r="I11" s="39"/>
      <c r="J11" s="39"/>
      <c r="K11" s="39"/>
      <c r="L11" s="39"/>
      <c r="M11" s="39"/>
      <c r="N11" s="38"/>
      <c r="O11" s="38"/>
      <c r="P11" s="38"/>
      <c r="Q11" s="38"/>
      <c r="R11" s="38"/>
      <c r="S11" s="38"/>
      <c r="T11" s="38">
        <v>139</v>
      </c>
      <c r="U11" s="38">
        <v>8</v>
      </c>
      <c r="V11" s="38">
        <v>139</v>
      </c>
      <c r="W11" s="38">
        <v>8</v>
      </c>
      <c r="X11" s="38">
        <f t="shared" si="4"/>
        <v>0</v>
      </c>
      <c r="Y11" s="38">
        <f t="shared" si="0"/>
        <v>139</v>
      </c>
      <c r="Z11" s="38">
        <f t="shared" si="1"/>
        <v>8</v>
      </c>
      <c r="AA11" s="38">
        <f t="shared" si="2"/>
        <v>139</v>
      </c>
      <c r="AB11" s="38">
        <f t="shared" si="3"/>
        <v>8</v>
      </c>
      <c r="AC11" s="38"/>
      <c r="AD11" s="38"/>
      <c r="AE11" s="38"/>
      <c r="AF11" s="38"/>
      <c r="AG11" s="38"/>
      <c r="AH11" s="36"/>
      <c r="AI11" s="36"/>
      <c r="AJ11" s="36"/>
      <c r="AK11" s="36"/>
      <c r="AL11" s="36"/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5">
        <f t="shared" si="5"/>
        <v>0</v>
      </c>
      <c r="AS11" s="35">
        <f t="shared" si="6"/>
        <v>139</v>
      </c>
      <c r="AT11" s="35">
        <f t="shared" si="6"/>
        <v>8</v>
      </c>
      <c r="AU11" s="35">
        <f t="shared" si="8"/>
        <v>139</v>
      </c>
      <c r="AV11" s="35">
        <f t="shared" si="7"/>
        <v>8</v>
      </c>
      <c r="AW11" s="260">
        <f aca="true" t="shared" si="9" ref="AW11:AW16">AV11/AU11</f>
        <v>0.05755395683453238</v>
      </c>
    </row>
    <row r="12" spans="1:49" ht="15">
      <c r="A12" s="13">
        <v>7</v>
      </c>
      <c r="B12" s="37">
        <v>680001</v>
      </c>
      <c r="C12" s="34" t="s">
        <v>347</v>
      </c>
      <c r="D12" s="38"/>
      <c r="E12" s="38"/>
      <c r="F12" s="38"/>
      <c r="G12" s="38"/>
      <c r="H12" s="38"/>
      <c r="I12" s="39"/>
      <c r="J12" s="39"/>
      <c r="K12" s="39"/>
      <c r="L12" s="39"/>
      <c r="M12" s="39"/>
      <c r="N12" s="38">
        <v>120</v>
      </c>
      <c r="O12" s="38">
        <v>300</v>
      </c>
      <c r="P12" s="38">
        <v>50</v>
      </c>
      <c r="Q12" s="38">
        <v>300</v>
      </c>
      <c r="R12" s="38">
        <v>230</v>
      </c>
      <c r="S12" s="38"/>
      <c r="T12" s="38"/>
      <c r="U12" s="38"/>
      <c r="V12" s="38"/>
      <c r="W12" s="38"/>
      <c r="X12" s="38">
        <f t="shared" si="4"/>
        <v>120</v>
      </c>
      <c r="Y12" s="38">
        <f t="shared" si="0"/>
        <v>300</v>
      </c>
      <c r="Z12" s="38">
        <f t="shared" si="1"/>
        <v>50</v>
      </c>
      <c r="AA12" s="38">
        <f t="shared" si="2"/>
        <v>300</v>
      </c>
      <c r="AB12" s="38">
        <f t="shared" si="3"/>
        <v>230</v>
      </c>
      <c r="AC12" s="38"/>
      <c r="AD12" s="38"/>
      <c r="AE12" s="38"/>
      <c r="AF12" s="38"/>
      <c r="AG12" s="38"/>
      <c r="AH12" s="36">
        <v>8376</v>
      </c>
      <c r="AI12" s="36">
        <v>8669</v>
      </c>
      <c r="AJ12" s="36">
        <v>8334</v>
      </c>
      <c r="AK12" s="36">
        <v>8669</v>
      </c>
      <c r="AL12" s="36">
        <v>8334</v>
      </c>
      <c r="AM12" s="36">
        <f>SUM(AC12:AH12)</f>
        <v>8376</v>
      </c>
      <c r="AN12" s="36">
        <f aca="true" t="shared" si="10" ref="AN12:AO16">AD12+AI12</f>
        <v>8669</v>
      </c>
      <c r="AO12" s="36">
        <f t="shared" si="10"/>
        <v>8334</v>
      </c>
      <c r="AP12" s="36">
        <f aca="true" t="shared" si="11" ref="AP12:AQ14">AK12+AF12</f>
        <v>8669</v>
      </c>
      <c r="AQ12" s="36">
        <f t="shared" si="11"/>
        <v>8334</v>
      </c>
      <c r="AR12" s="35">
        <f t="shared" si="5"/>
        <v>8496</v>
      </c>
      <c r="AS12" s="35">
        <f t="shared" si="6"/>
        <v>8969</v>
      </c>
      <c r="AT12" s="35">
        <f t="shared" si="6"/>
        <v>8384</v>
      </c>
      <c r="AU12" s="35">
        <f t="shared" si="8"/>
        <v>8969</v>
      </c>
      <c r="AV12" s="35">
        <f t="shared" si="7"/>
        <v>8564</v>
      </c>
      <c r="AW12" s="260">
        <f t="shared" si="9"/>
        <v>0.9548444642658044</v>
      </c>
    </row>
    <row r="13" spans="1:49" ht="15">
      <c r="A13" s="13">
        <v>8</v>
      </c>
      <c r="B13" s="37">
        <v>841402</v>
      </c>
      <c r="C13" s="34" t="s">
        <v>122</v>
      </c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8"/>
      <c r="O13" s="38"/>
      <c r="P13" s="38"/>
      <c r="Q13" s="38">
        <v>70</v>
      </c>
      <c r="R13" s="38">
        <v>70</v>
      </c>
      <c r="S13" s="38"/>
      <c r="T13" s="38"/>
      <c r="U13" s="38"/>
      <c r="V13" s="38"/>
      <c r="W13" s="38"/>
      <c r="X13" s="38">
        <f t="shared" si="4"/>
        <v>0</v>
      </c>
      <c r="Y13" s="38">
        <f t="shared" si="0"/>
        <v>0</v>
      </c>
      <c r="Z13" s="38">
        <f t="shared" si="1"/>
        <v>0</v>
      </c>
      <c r="AA13" s="38">
        <f t="shared" si="2"/>
        <v>70</v>
      </c>
      <c r="AB13" s="38">
        <f t="shared" si="3"/>
        <v>70</v>
      </c>
      <c r="AC13" s="38"/>
      <c r="AD13" s="38"/>
      <c r="AE13" s="38"/>
      <c r="AF13" s="38"/>
      <c r="AG13" s="38"/>
      <c r="AH13" s="36"/>
      <c r="AI13" s="36">
        <v>2496</v>
      </c>
      <c r="AJ13" s="36">
        <v>668</v>
      </c>
      <c r="AK13" s="36">
        <v>2416</v>
      </c>
      <c r="AL13" s="36">
        <v>2414</v>
      </c>
      <c r="AM13" s="36">
        <f>SUM(AC13:AH13)</f>
        <v>0</v>
      </c>
      <c r="AN13" s="36">
        <f t="shared" si="10"/>
        <v>2496</v>
      </c>
      <c r="AO13" s="36">
        <f t="shared" si="10"/>
        <v>668</v>
      </c>
      <c r="AP13" s="36">
        <f t="shared" si="11"/>
        <v>2416</v>
      </c>
      <c r="AQ13" s="36">
        <f t="shared" si="11"/>
        <v>2414</v>
      </c>
      <c r="AR13" s="35">
        <f t="shared" si="5"/>
        <v>0</v>
      </c>
      <c r="AS13" s="35">
        <f t="shared" si="6"/>
        <v>2496</v>
      </c>
      <c r="AT13" s="35">
        <f t="shared" si="6"/>
        <v>668</v>
      </c>
      <c r="AU13" s="35">
        <f t="shared" si="8"/>
        <v>2486</v>
      </c>
      <c r="AV13" s="35">
        <f t="shared" si="7"/>
        <v>2484</v>
      </c>
      <c r="AW13" s="260">
        <f t="shared" si="9"/>
        <v>0.999195494770716</v>
      </c>
    </row>
    <row r="14" spans="1:49" ht="15">
      <c r="A14" s="13">
        <v>9</v>
      </c>
      <c r="B14" s="37">
        <v>841403</v>
      </c>
      <c r="C14" s="34" t="s">
        <v>124</v>
      </c>
      <c r="D14" s="38">
        <v>48</v>
      </c>
      <c r="E14" s="38">
        <v>48</v>
      </c>
      <c r="F14" s="38">
        <v>12</v>
      </c>
      <c r="G14" s="38">
        <v>48</v>
      </c>
      <c r="H14" s="38">
        <v>16</v>
      </c>
      <c r="I14" s="39">
        <f>'7.K.Részletező2'!G28</f>
        <v>0</v>
      </c>
      <c r="J14" s="39">
        <v>0</v>
      </c>
      <c r="K14" s="39">
        <v>0</v>
      </c>
      <c r="L14" s="39"/>
      <c r="M14" s="39"/>
      <c r="N14" s="38">
        <v>3513</v>
      </c>
      <c r="O14" s="38">
        <v>3513</v>
      </c>
      <c r="P14" s="38">
        <v>2512</v>
      </c>
      <c r="Q14" s="38">
        <v>3527</v>
      </c>
      <c r="R14" s="38">
        <v>2844</v>
      </c>
      <c r="S14" s="38"/>
      <c r="T14" s="38">
        <v>345</v>
      </c>
      <c r="U14" s="38">
        <v>345</v>
      </c>
      <c r="V14" s="38">
        <f>345+9901</f>
        <v>10246</v>
      </c>
      <c r="W14" s="38">
        <f>345+9901</f>
        <v>10246</v>
      </c>
      <c r="X14" s="38">
        <f t="shared" si="4"/>
        <v>3561</v>
      </c>
      <c r="Y14" s="38">
        <f t="shared" si="0"/>
        <v>3906</v>
      </c>
      <c r="Z14" s="38">
        <f t="shared" si="1"/>
        <v>2869</v>
      </c>
      <c r="AA14" s="38">
        <f t="shared" si="2"/>
        <v>13821</v>
      </c>
      <c r="AB14" s="38">
        <f t="shared" si="3"/>
        <v>13106</v>
      </c>
      <c r="AC14" s="38">
        <v>2000</v>
      </c>
      <c r="AD14" s="38">
        <v>2000</v>
      </c>
      <c r="AE14" s="38">
        <v>500</v>
      </c>
      <c r="AF14" s="38">
        <v>2000</v>
      </c>
      <c r="AG14" s="38">
        <v>1500</v>
      </c>
      <c r="AH14" s="36">
        <v>34734</v>
      </c>
      <c r="AI14" s="36">
        <f>21303+38044+2056+1</f>
        <v>61404</v>
      </c>
      <c r="AJ14" s="36">
        <f>15734+990</f>
        <v>16724</v>
      </c>
      <c r="AK14" s="36">
        <v>57819</v>
      </c>
      <c r="AL14" s="36">
        <v>31430</v>
      </c>
      <c r="AM14" s="36">
        <f>SUM(AC14+AH14)</f>
        <v>36734</v>
      </c>
      <c r="AN14" s="36">
        <f t="shared" si="10"/>
        <v>63404</v>
      </c>
      <c r="AO14" s="36">
        <f t="shared" si="10"/>
        <v>17224</v>
      </c>
      <c r="AP14" s="36">
        <f t="shared" si="11"/>
        <v>59819</v>
      </c>
      <c r="AQ14" s="36">
        <f t="shared" si="11"/>
        <v>32930</v>
      </c>
      <c r="AR14" s="35">
        <f t="shared" si="5"/>
        <v>40295</v>
      </c>
      <c r="AS14" s="35">
        <f t="shared" si="6"/>
        <v>67310</v>
      </c>
      <c r="AT14" s="35">
        <f t="shared" si="6"/>
        <v>20093</v>
      </c>
      <c r="AU14" s="35">
        <f t="shared" si="8"/>
        <v>73640</v>
      </c>
      <c r="AV14" s="35">
        <f t="shared" si="7"/>
        <v>46036</v>
      </c>
      <c r="AW14" s="260">
        <f t="shared" si="9"/>
        <v>0.6251493753394894</v>
      </c>
    </row>
    <row r="15" spans="1:49" ht="15">
      <c r="A15" s="13">
        <v>10</v>
      </c>
      <c r="B15" s="37">
        <v>841901</v>
      </c>
      <c r="C15" s="34" t="s">
        <v>783</v>
      </c>
      <c r="D15" s="38"/>
      <c r="E15" s="38"/>
      <c r="F15" s="38"/>
      <c r="G15" s="38"/>
      <c r="H15" s="38"/>
      <c r="I15" s="39"/>
      <c r="J15" s="39"/>
      <c r="K15" s="39"/>
      <c r="L15" s="39"/>
      <c r="M15" s="39"/>
      <c r="N15" s="38"/>
      <c r="O15" s="38"/>
      <c r="P15" s="38"/>
      <c r="Q15" s="38"/>
      <c r="R15" s="38"/>
      <c r="S15" s="38"/>
      <c r="T15" s="38">
        <v>4440</v>
      </c>
      <c r="U15" s="38">
        <v>4440</v>
      </c>
      <c r="V15" s="38">
        <v>4440</v>
      </c>
      <c r="W15" s="38">
        <v>4440</v>
      </c>
      <c r="X15" s="38">
        <f>S15+N15+I15+D15</f>
        <v>0</v>
      </c>
      <c r="Y15" s="38">
        <f t="shared" si="0"/>
        <v>4440</v>
      </c>
      <c r="Z15" s="38">
        <f t="shared" si="1"/>
        <v>4440</v>
      </c>
      <c r="AA15" s="38">
        <f t="shared" si="2"/>
        <v>4440</v>
      </c>
      <c r="AB15" s="38">
        <f t="shared" si="3"/>
        <v>4440</v>
      </c>
      <c r="AC15" s="38"/>
      <c r="AD15" s="38"/>
      <c r="AE15" s="38"/>
      <c r="AF15" s="38"/>
      <c r="AG15" s="38"/>
      <c r="AH15" s="36"/>
      <c r="AI15" s="36"/>
      <c r="AJ15" s="36"/>
      <c r="AK15" s="36"/>
      <c r="AL15" s="36"/>
      <c r="AM15" s="36">
        <f>SUM(AC15:AH15)</f>
        <v>0</v>
      </c>
      <c r="AN15" s="36">
        <f t="shared" si="10"/>
        <v>0</v>
      </c>
      <c r="AO15" s="36">
        <f t="shared" si="10"/>
        <v>0</v>
      </c>
      <c r="AP15" s="36"/>
      <c r="AQ15" s="36"/>
      <c r="AR15" s="35">
        <f t="shared" si="5"/>
        <v>0</v>
      </c>
      <c r="AS15" s="35">
        <f t="shared" si="6"/>
        <v>4440</v>
      </c>
      <c r="AT15" s="35">
        <f t="shared" si="6"/>
        <v>4440</v>
      </c>
      <c r="AU15" s="35">
        <f t="shared" si="8"/>
        <v>4440</v>
      </c>
      <c r="AV15" s="35">
        <f t="shared" si="7"/>
        <v>4440</v>
      </c>
      <c r="AW15" s="260">
        <f t="shared" si="9"/>
        <v>1</v>
      </c>
    </row>
    <row r="16" spans="1:51" ht="15">
      <c r="A16" s="13">
        <v>11</v>
      </c>
      <c r="B16" s="13"/>
      <c r="C16" s="34" t="s">
        <v>115</v>
      </c>
      <c r="D16" s="38">
        <f aca="true" t="shared" si="12" ref="D16:W16">SUM(D8:D15)</f>
        <v>7376</v>
      </c>
      <c r="E16" s="38">
        <f t="shared" si="12"/>
        <v>7235</v>
      </c>
      <c r="F16" s="38">
        <f t="shared" si="12"/>
        <v>3529</v>
      </c>
      <c r="G16" s="38">
        <f t="shared" si="12"/>
        <v>6990</v>
      </c>
      <c r="H16" s="38">
        <f t="shared" si="12"/>
        <v>5195</v>
      </c>
      <c r="I16" s="38">
        <f t="shared" si="12"/>
        <v>1952</v>
      </c>
      <c r="J16" s="38">
        <f t="shared" si="12"/>
        <v>1912</v>
      </c>
      <c r="K16" s="38">
        <f t="shared" si="12"/>
        <v>910</v>
      </c>
      <c r="L16" s="38">
        <f t="shared" si="12"/>
        <v>1859</v>
      </c>
      <c r="M16" s="38">
        <f t="shared" si="12"/>
        <v>1345</v>
      </c>
      <c r="N16" s="38">
        <f t="shared" si="12"/>
        <v>7928</v>
      </c>
      <c r="O16" s="38">
        <f t="shared" si="12"/>
        <v>13004</v>
      </c>
      <c r="P16" s="38">
        <f t="shared" si="12"/>
        <v>8738</v>
      </c>
      <c r="Q16" s="38">
        <f t="shared" si="12"/>
        <v>13519</v>
      </c>
      <c r="R16" s="38">
        <f t="shared" si="12"/>
        <v>10633</v>
      </c>
      <c r="S16" s="38">
        <f t="shared" si="12"/>
        <v>32057</v>
      </c>
      <c r="T16" s="38">
        <f t="shared" si="12"/>
        <v>37238</v>
      </c>
      <c r="U16" s="38">
        <f t="shared" si="12"/>
        <v>21501</v>
      </c>
      <c r="V16" s="38">
        <f t="shared" si="12"/>
        <v>53173</v>
      </c>
      <c r="W16" s="38">
        <f t="shared" si="12"/>
        <v>39103</v>
      </c>
      <c r="X16" s="38">
        <f>S16+N16+I16+D16</f>
        <v>49313</v>
      </c>
      <c r="Y16" s="38">
        <f t="shared" si="0"/>
        <v>59389</v>
      </c>
      <c r="Z16" s="38">
        <f t="shared" si="1"/>
        <v>34678</v>
      </c>
      <c r="AA16" s="38">
        <f t="shared" si="2"/>
        <v>75541</v>
      </c>
      <c r="AB16" s="38">
        <f t="shared" si="3"/>
        <v>56276</v>
      </c>
      <c r="AC16" s="38">
        <f aca="true" t="shared" si="13" ref="AC16:AL16">SUM(AC8:AC15)</f>
        <v>2000</v>
      </c>
      <c r="AD16" s="38">
        <f t="shared" si="13"/>
        <v>2000</v>
      </c>
      <c r="AE16" s="38">
        <f t="shared" si="13"/>
        <v>500</v>
      </c>
      <c r="AF16" s="38">
        <f t="shared" si="13"/>
        <v>2000</v>
      </c>
      <c r="AG16" s="38">
        <f t="shared" si="13"/>
        <v>1500</v>
      </c>
      <c r="AH16" s="38">
        <f t="shared" si="13"/>
        <v>43110</v>
      </c>
      <c r="AI16" s="38">
        <f t="shared" si="13"/>
        <v>72569</v>
      </c>
      <c r="AJ16" s="38">
        <f t="shared" si="13"/>
        <v>25726</v>
      </c>
      <c r="AK16" s="38">
        <f t="shared" si="13"/>
        <v>68904</v>
      </c>
      <c r="AL16" s="38">
        <f t="shared" si="13"/>
        <v>42178</v>
      </c>
      <c r="AM16" s="36">
        <f>AC16+AH16</f>
        <v>45110</v>
      </c>
      <c r="AN16" s="36">
        <f t="shared" si="10"/>
        <v>74569</v>
      </c>
      <c r="AO16" s="36">
        <f t="shared" si="10"/>
        <v>26226</v>
      </c>
      <c r="AP16" s="36">
        <f>AK16+AF16</f>
        <v>70904</v>
      </c>
      <c r="AQ16" s="36">
        <f>AL16+AG16</f>
        <v>43678</v>
      </c>
      <c r="AR16" s="35">
        <f>X16+AM16</f>
        <v>94423</v>
      </c>
      <c r="AS16" s="35">
        <f t="shared" si="6"/>
        <v>133958</v>
      </c>
      <c r="AT16" s="35">
        <f t="shared" si="6"/>
        <v>60904</v>
      </c>
      <c r="AU16" s="35">
        <f>AA16+AP16</f>
        <v>146445</v>
      </c>
      <c r="AV16" s="35">
        <f>AB16+AQ16</f>
        <v>99954</v>
      </c>
      <c r="AW16" s="260">
        <f t="shared" si="9"/>
        <v>0.6825361057052136</v>
      </c>
      <c r="AX16">
        <v>175432538</v>
      </c>
      <c r="AY16">
        <v>60904</v>
      </c>
    </row>
    <row r="17" spans="1:49" ht="15">
      <c r="A17" s="13">
        <v>12</v>
      </c>
      <c r="B17" s="13"/>
      <c r="C17" s="3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6"/>
      <c r="AN17" s="36"/>
      <c r="AO17" s="36"/>
      <c r="AP17" s="36"/>
      <c r="AQ17" s="36"/>
      <c r="AR17" s="35"/>
      <c r="AS17" s="35"/>
      <c r="AT17" s="35"/>
      <c r="AU17" s="35"/>
      <c r="AV17" s="35"/>
      <c r="AW17" s="260"/>
    </row>
    <row r="18" spans="1:49" ht="15">
      <c r="A18" s="13">
        <v>13</v>
      </c>
      <c r="B18" s="37">
        <v>851111</v>
      </c>
      <c r="C18" s="34" t="s">
        <v>116</v>
      </c>
      <c r="D18" s="38">
        <v>32718</v>
      </c>
      <c r="E18" s="38">
        <v>32691</v>
      </c>
      <c r="F18" s="38">
        <v>13674</v>
      </c>
      <c r="G18" s="38">
        <v>33368</v>
      </c>
      <c r="H18" s="38">
        <v>20503</v>
      </c>
      <c r="I18" s="39">
        <v>8829</v>
      </c>
      <c r="J18" s="39">
        <v>8849</v>
      </c>
      <c r="K18" s="39">
        <v>3724</v>
      </c>
      <c r="L18" s="39">
        <v>9022</v>
      </c>
      <c r="M18" s="39">
        <v>5583</v>
      </c>
      <c r="N18" s="38">
        <v>3463</v>
      </c>
      <c r="O18" s="38">
        <v>3563</v>
      </c>
      <c r="P18" s="38">
        <v>1098</v>
      </c>
      <c r="Q18" s="38">
        <v>3715</v>
      </c>
      <c r="R18" s="38">
        <v>2192</v>
      </c>
      <c r="S18" s="38"/>
      <c r="T18" s="38"/>
      <c r="U18" s="38"/>
      <c r="V18" s="38"/>
      <c r="W18" s="38"/>
      <c r="X18" s="38">
        <f aca="true" t="shared" si="14" ref="X18:X56">S18+N18+I18+D18</f>
        <v>45010</v>
      </c>
      <c r="Y18" s="38">
        <f aca="true" t="shared" si="15" ref="Y18:Y56">T18+O18+J18+E18</f>
        <v>45103</v>
      </c>
      <c r="Z18" s="38">
        <f aca="true" t="shared" si="16" ref="Z18:Z55">U18+P18+K18+F18</f>
        <v>18496</v>
      </c>
      <c r="AA18" s="38">
        <f aca="true" t="shared" si="17" ref="AA18:AA61">V18+Q18+L18+G18</f>
        <v>46105</v>
      </c>
      <c r="AB18" s="38">
        <f aca="true" t="shared" si="18" ref="AB18:AB61">W18+R18+M18+H18</f>
        <v>28278</v>
      </c>
      <c r="AC18" s="38"/>
      <c r="AD18" s="38"/>
      <c r="AE18" s="38"/>
      <c r="AF18" s="38"/>
      <c r="AG18" s="38"/>
      <c r="AH18" s="36">
        <v>2427</v>
      </c>
      <c r="AI18" s="36">
        <v>2427</v>
      </c>
      <c r="AJ18" s="36">
        <v>1146</v>
      </c>
      <c r="AK18" s="36">
        <v>4012</v>
      </c>
      <c r="AL18" s="36">
        <v>1794</v>
      </c>
      <c r="AM18" s="36">
        <f aca="true" t="shared" si="19" ref="AM18:AM56">AC18+AH18</f>
        <v>2427</v>
      </c>
      <c r="AN18" s="36">
        <f aca="true" t="shared" si="20" ref="AN18:AN50">AD18+AI18</f>
        <v>2427</v>
      </c>
      <c r="AO18" s="36">
        <f aca="true" t="shared" si="21" ref="AO18:AO50">AE18+AJ18</f>
        <v>1146</v>
      </c>
      <c r="AP18" s="36">
        <f>AF18+AK18</f>
        <v>4012</v>
      </c>
      <c r="AQ18" s="36">
        <f>AG18+AL18</f>
        <v>1794</v>
      </c>
      <c r="AR18" s="35">
        <f aca="true" t="shared" si="22" ref="AR18:AR52">X18+AM18</f>
        <v>47437</v>
      </c>
      <c r="AS18" s="35">
        <f aca="true" t="shared" si="23" ref="AS18:AS52">Y18+AN18</f>
        <v>47530</v>
      </c>
      <c r="AT18" s="35">
        <f aca="true" t="shared" si="24" ref="AT18:AT52">Z18+AO18</f>
        <v>19642</v>
      </c>
      <c r="AU18" s="35">
        <f>AA18+AP18</f>
        <v>50117</v>
      </c>
      <c r="AV18" s="35">
        <f aca="true" t="shared" si="25" ref="AV18:AV58">AB18+AQ18</f>
        <v>30072</v>
      </c>
      <c r="AW18" s="260">
        <f>AV18/AU18</f>
        <v>0.6000359159566614</v>
      </c>
    </row>
    <row r="19" spans="1:49" ht="15">
      <c r="A19" s="13">
        <v>14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38">
        <f t="shared" si="14"/>
        <v>0</v>
      </c>
      <c r="Y19" s="38">
        <f t="shared" si="15"/>
        <v>0</v>
      </c>
      <c r="Z19" s="38">
        <f t="shared" si="16"/>
        <v>0</v>
      </c>
      <c r="AA19" s="38">
        <f t="shared" si="17"/>
        <v>0</v>
      </c>
      <c r="AB19" s="38">
        <f t="shared" si="18"/>
        <v>0</v>
      </c>
      <c r="AC19" s="38"/>
      <c r="AD19" s="38"/>
      <c r="AE19" s="38"/>
      <c r="AF19" s="38"/>
      <c r="AG19" s="38"/>
      <c r="AH19" s="13"/>
      <c r="AI19" s="13"/>
      <c r="AJ19" s="13"/>
      <c r="AK19" s="13"/>
      <c r="AL19" s="13"/>
      <c r="AM19" s="36">
        <f t="shared" si="19"/>
        <v>0</v>
      </c>
      <c r="AN19" s="36">
        <f t="shared" si="20"/>
        <v>0</v>
      </c>
      <c r="AO19" s="36">
        <f t="shared" si="21"/>
        <v>0</v>
      </c>
      <c r="AP19" s="36"/>
      <c r="AQ19" s="36"/>
      <c r="AR19" s="35">
        <f t="shared" si="22"/>
        <v>0</v>
      </c>
      <c r="AS19" s="35">
        <f t="shared" si="23"/>
        <v>0</v>
      </c>
      <c r="AT19" s="35">
        <f t="shared" si="24"/>
        <v>0</v>
      </c>
      <c r="AU19" s="35"/>
      <c r="AV19" s="35">
        <f t="shared" si="25"/>
        <v>0</v>
      </c>
      <c r="AW19" s="260"/>
    </row>
    <row r="20" spans="1:49" ht="15">
      <c r="A20" s="13">
        <v>15</v>
      </c>
      <c r="B20" s="13"/>
      <c r="C20" s="34" t="s">
        <v>44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38">
        <f t="shared" si="14"/>
        <v>0</v>
      </c>
      <c r="Y20" s="38">
        <f t="shared" si="15"/>
        <v>0</v>
      </c>
      <c r="Z20" s="38">
        <f t="shared" si="16"/>
        <v>0</v>
      </c>
      <c r="AA20" s="38">
        <f t="shared" si="17"/>
        <v>0</v>
      </c>
      <c r="AB20" s="38">
        <f t="shared" si="18"/>
        <v>0</v>
      </c>
      <c r="AC20" s="38"/>
      <c r="AD20" s="38"/>
      <c r="AE20" s="38"/>
      <c r="AF20" s="38"/>
      <c r="AG20" s="38"/>
      <c r="AH20" s="25"/>
      <c r="AI20" s="25"/>
      <c r="AJ20" s="25"/>
      <c r="AK20" s="25"/>
      <c r="AL20" s="25"/>
      <c r="AM20" s="36">
        <f t="shared" si="19"/>
        <v>0</v>
      </c>
      <c r="AN20" s="36">
        <f t="shared" si="20"/>
        <v>0</v>
      </c>
      <c r="AO20" s="36">
        <f t="shared" si="21"/>
        <v>0</v>
      </c>
      <c r="AP20" s="36"/>
      <c r="AQ20" s="36"/>
      <c r="AR20" s="35">
        <f t="shared" si="22"/>
        <v>0</v>
      </c>
      <c r="AS20" s="35">
        <f t="shared" si="23"/>
        <v>0</v>
      </c>
      <c r="AT20" s="35">
        <f t="shared" si="24"/>
        <v>0</v>
      </c>
      <c r="AU20" s="35"/>
      <c r="AV20" s="35">
        <f t="shared" si="25"/>
        <v>0</v>
      </c>
      <c r="AW20" s="260"/>
    </row>
    <row r="21" spans="1:49" ht="15">
      <c r="A21" s="13">
        <v>16</v>
      </c>
      <c r="B21" s="13"/>
      <c r="C21" s="13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38">
        <f t="shared" si="14"/>
        <v>0</v>
      </c>
      <c r="Y21" s="38">
        <f t="shared" si="15"/>
        <v>0</v>
      </c>
      <c r="Z21" s="38">
        <f t="shared" si="16"/>
        <v>0</v>
      </c>
      <c r="AA21" s="38">
        <f t="shared" si="17"/>
        <v>0</v>
      </c>
      <c r="AB21" s="38">
        <f t="shared" si="18"/>
        <v>0</v>
      </c>
      <c r="AC21" s="38"/>
      <c r="AD21" s="38"/>
      <c r="AE21" s="38"/>
      <c r="AF21" s="38"/>
      <c r="AG21" s="38"/>
      <c r="AH21" s="25"/>
      <c r="AI21" s="25"/>
      <c r="AJ21" s="25"/>
      <c r="AK21" s="25"/>
      <c r="AL21" s="25"/>
      <c r="AM21" s="36">
        <f t="shared" si="19"/>
        <v>0</v>
      </c>
      <c r="AN21" s="36">
        <f t="shared" si="20"/>
        <v>0</v>
      </c>
      <c r="AO21" s="36">
        <f t="shared" si="21"/>
        <v>0</v>
      </c>
      <c r="AP21" s="36"/>
      <c r="AQ21" s="36"/>
      <c r="AR21" s="35">
        <f t="shared" si="22"/>
        <v>0</v>
      </c>
      <c r="AS21" s="35">
        <f t="shared" si="23"/>
        <v>0</v>
      </c>
      <c r="AT21" s="35">
        <f t="shared" si="24"/>
        <v>0</v>
      </c>
      <c r="AU21" s="35"/>
      <c r="AV21" s="35">
        <f t="shared" si="25"/>
        <v>0</v>
      </c>
      <c r="AW21" s="260"/>
    </row>
    <row r="22" spans="1:49" s="113" customFormat="1" ht="15.75">
      <c r="A22" s="13">
        <v>17</v>
      </c>
      <c r="B22" s="37">
        <v>370000</v>
      </c>
      <c r="C22" s="40" t="s">
        <v>117</v>
      </c>
      <c r="D22" s="25">
        <v>0</v>
      </c>
      <c r="E22" s="25"/>
      <c r="F22" s="25"/>
      <c r="G22" s="25"/>
      <c r="H22" s="25"/>
      <c r="I22" s="37">
        <v>0</v>
      </c>
      <c r="J22" s="37"/>
      <c r="K22" s="37"/>
      <c r="L22" s="37"/>
      <c r="M22" s="37"/>
      <c r="N22" s="37">
        <v>6034</v>
      </c>
      <c r="O22" s="37">
        <v>6034</v>
      </c>
      <c r="P22" s="37">
        <v>1660</v>
      </c>
      <c r="Q22" s="37">
        <v>6034</v>
      </c>
      <c r="R22" s="37">
        <v>4473</v>
      </c>
      <c r="S22" s="134"/>
      <c r="T22" s="134"/>
      <c r="U22" s="134"/>
      <c r="V22" s="134"/>
      <c r="W22" s="134"/>
      <c r="X22" s="38">
        <f t="shared" si="14"/>
        <v>6034</v>
      </c>
      <c r="Y22" s="38">
        <f t="shared" si="15"/>
        <v>6034</v>
      </c>
      <c r="Z22" s="38">
        <f t="shared" si="16"/>
        <v>1660</v>
      </c>
      <c r="AA22" s="38">
        <f t="shared" si="17"/>
        <v>6034</v>
      </c>
      <c r="AB22" s="38">
        <f t="shared" si="18"/>
        <v>4473</v>
      </c>
      <c r="AC22" s="38"/>
      <c r="AD22" s="38"/>
      <c r="AE22" s="38"/>
      <c r="AF22" s="38"/>
      <c r="AG22" s="38"/>
      <c r="AH22" s="37">
        <v>0</v>
      </c>
      <c r="AI22" s="37"/>
      <c r="AJ22" s="37"/>
      <c r="AK22" s="37"/>
      <c r="AL22" s="37"/>
      <c r="AM22" s="36">
        <f t="shared" si="19"/>
        <v>0</v>
      </c>
      <c r="AN22" s="36">
        <f t="shared" si="20"/>
        <v>0</v>
      </c>
      <c r="AO22" s="36">
        <f t="shared" si="21"/>
        <v>0</v>
      </c>
      <c r="AP22" s="36"/>
      <c r="AQ22" s="36"/>
      <c r="AR22" s="35">
        <f t="shared" si="22"/>
        <v>6034</v>
      </c>
      <c r="AS22" s="35">
        <f t="shared" si="23"/>
        <v>6034</v>
      </c>
      <c r="AT22" s="35">
        <f t="shared" si="24"/>
        <v>1660</v>
      </c>
      <c r="AU22" s="35">
        <f>AP22+AA22</f>
        <v>6034</v>
      </c>
      <c r="AV22" s="35">
        <f t="shared" si="25"/>
        <v>4473</v>
      </c>
      <c r="AW22" s="260">
        <f aca="true" t="shared" si="26" ref="AW22:AW56">AV22/AU22</f>
        <v>0.7412993039443155</v>
      </c>
    </row>
    <row r="23" spans="1:49" s="113" customFormat="1" ht="15">
      <c r="A23" s="13">
        <v>18</v>
      </c>
      <c r="B23" s="37">
        <v>381183</v>
      </c>
      <c r="C23" s="25" t="s">
        <v>142</v>
      </c>
      <c r="D23" s="25">
        <v>5460</v>
      </c>
      <c r="E23" s="25">
        <v>5570</v>
      </c>
      <c r="F23" s="25">
        <v>2637</v>
      </c>
      <c r="G23" s="25">
        <v>5624</v>
      </c>
      <c r="H23" s="25">
        <v>3965</v>
      </c>
      <c r="I23" s="25">
        <v>1514</v>
      </c>
      <c r="J23" s="25">
        <v>1544</v>
      </c>
      <c r="K23" s="25">
        <v>729</v>
      </c>
      <c r="L23" s="25">
        <v>1559</v>
      </c>
      <c r="M23" s="25">
        <v>1096</v>
      </c>
      <c r="N23" s="25">
        <v>14707</v>
      </c>
      <c r="O23" s="25">
        <v>14857</v>
      </c>
      <c r="P23" s="25">
        <v>5289</v>
      </c>
      <c r="Q23" s="25">
        <v>14857</v>
      </c>
      <c r="R23" s="25">
        <v>8121</v>
      </c>
      <c r="S23" s="25"/>
      <c r="T23" s="25"/>
      <c r="U23" s="25"/>
      <c r="V23" s="25"/>
      <c r="W23" s="25"/>
      <c r="X23" s="38">
        <f t="shared" si="14"/>
        <v>21681</v>
      </c>
      <c r="Y23" s="38">
        <f t="shared" si="15"/>
        <v>21971</v>
      </c>
      <c r="Z23" s="38">
        <f t="shared" si="16"/>
        <v>8655</v>
      </c>
      <c r="AA23" s="38">
        <f t="shared" si="17"/>
        <v>22040</v>
      </c>
      <c r="AB23" s="38">
        <f t="shared" si="18"/>
        <v>13182</v>
      </c>
      <c r="AC23" s="38"/>
      <c r="AD23" s="38"/>
      <c r="AE23" s="38"/>
      <c r="AF23" s="38"/>
      <c r="AG23" s="38"/>
      <c r="AH23" s="25"/>
      <c r="AI23" s="25">
        <v>6000</v>
      </c>
      <c r="AJ23" s="25">
        <v>6000</v>
      </c>
      <c r="AK23" s="25">
        <v>6000</v>
      </c>
      <c r="AL23" s="25">
        <v>6000</v>
      </c>
      <c r="AM23" s="36">
        <f t="shared" si="19"/>
        <v>0</v>
      </c>
      <c r="AN23" s="36">
        <f t="shared" si="20"/>
        <v>6000</v>
      </c>
      <c r="AO23" s="36">
        <f t="shared" si="21"/>
        <v>6000</v>
      </c>
      <c r="AP23" s="36">
        <v>6000</v>
      </c>
      <c r="AQ23" s="36">
        <v>6000</v>
      </c>
      <c r="AR23" s="35">
        <f t="shared" si="22"/>
        <v>21681</v>
      </c>
      <c r="AS23" s="35">
        <f t="shared" si="23"/>
        <v>27971</v>
      </c>
      <c r="AT23" s="35">
        <f t="shared" si="24"/>
        <v>14655</v>
      </c>
      <c r="AU23" s="35">
        <f aca="true" t="shared" si="27" ref="AU23:AU55">AP23+AA23</f>
        <v>28040</v>
      </c>
      <c r="AV23" s="35">
        <f t="shared" si="25"/>
        <v>19182</v>
      </c>
      <c r="AW23" s="260">
        <f t="shared" si="26"/>
        <v>0.6840941512125535</v>
      </c>
    </row>
    <row r="24" spans="1:49" s="113" customFormat="1" ht="15">
      <c r="A24" s="13">
        <v>19</v>
      </c>
      <c r="B24" s="37">
        <v>522001</v>
      </c>
      <c r="C24" s="25" t="s">
        <v>140</v>
      </c>
      <c r="D24" s="25">
        <v>3880</v>
      </c>
      <c r="E24" s="25">
        <v>3946</v>
      </c>
      <c r="F24" s="25">
        <v>1824</v>
      </c>
      <c r="G24" s="25">
        <v>3985</v>
      </c>
      <c r="H24" s="25">
        <v>2737</v>
      </c>
      <c r="I24" s="25">
        <v>1074</v>
      </c>
      <c r="J24" s="25">
        <v>1092</v>
      </c>
      <c r="K24" s="25">
        <v>508</v>
      </c>
      <c r="L24" s="25">
        <v>1103</v>
      </c>
      <c r="M24" s="25">
        <v>761</v>
      </c>
      <c r="N24" s="25">
        <v>5157</v>
      </c>
      <c r="O24" s="25">
        <v>5288</v>
      </c>
      <c r="P24" s="25">
        <v>502</v>
      </c>
      <c r="Q24" s="25">
        <v>5288</v>
      </c>
      <c r="R24" s="25">
        <v>1183</v>
      </c>
      <c r="S24" s="25"/>
      <c r="T24" s="25"/>
      <c r="U24" s="25"/>
      <c r="V24" s="25"/>
      <c r="W24" s="25"/>
      <c r="X24" s="38">
        <f t="shared" si="14"/>
        <v>10111</v>
      </c>
      <c r="Y24" s="38">
        <f t="shared" si="15"/>
        <v>10326</v>
      </c>
      <c r="Z24" s="38">
        <f t="shared" si="16"/>
        <v>2834</v>
      </c>
      <c r="AA24" s="38">
        <f t="shared" si="17"/>
        <v>10376</v>
      </c>
      <c r="AB24" s="38">
        <f t="shared" si="18"/>
        <v>4681</v>
      </c>
      <c r="AC24" s="38"/>
      <c r="AD24" s="38"/>
      <c r="AE24" s="38"/>
      <c r="AF24" s="38"/>
      <c r="AG24" s="38"/>
      <c r="AH24" s="25"/>
      <c r="AI24" s="25"/>
      <c r="AJ24" s="25"/>
      <c r="AK24" s="25"/>
      <c r="AL24" s="25"/>
      <c r="AM24" s="36">
        <f t="shared" si="19"/>
        <v>0</v>
      </c>
      <c r="AN24" s="36">
        <f t="shared" si="20"/>
        <v>0</v>
      </c>
      <c r="AO24" s="36">
        <f t="shared" si="21"/>
        <v>0</v>
      </c>
      <c r="AP24" s="36"/>
      <c r="AQ24" s="36"/>
      <c r="AR24" s="35">
        <f t="shared" si="22"/>
        <v>10111</v>
      </c>
      <c r="AS24" s="35">
        <f t="shared" si="23"/>
        <v>10326</v>
      </c>
      <c r="AT24" s="35">
        <f t="shared" si="24"/>
        <v>2834</v>
      </c>
      <c r="AU24" s="35">
        <f t="shared" si="27"/>
        <v>10376</v>
      </c>
      <c r="AV24" s="35">
        <f t="shared" si="25"/>
        <v>4681</v>
      </c>
      <c r="AW24" s="260">
        <f t="shared" si="26"/>
        <v>0.4511372397841172</v>
      </c>
    </row>
    <row r="25" spans="1:49" s="113" customFormat="1" ht="15">
      <c r="A25" s="13">
        <v>20</v>
      </c>
      <c r="B25" s="25">
        <v>562912</v>
      </c>
      <c r="C25" s="25" t="s">
        <v>136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>
        <v>4517</v>
      </c>
      <c r="O25" s="25">
        <v>4517</v>
      </c>
      <c r="P25" s="25">
        <v>2534</v>
      </c>
      <c r="Q25" s="25">
        <v>4517</v>
      </c>
      <c r="R25" s="25">
        <v>2534</v>
      </c>
      <c r="S25" s="25"/>
      <c r="T25" s="25"/>
      <c r="U25" s="25"/>
      <c r="V25" s="25"/>
      <c r="W25" s="25"/>
      <c r="X25" s="38">
        <f t="shared" si="14"/>
        <v>4517</v>
      </c>
      <c r="Y25" s="38">
        <f t="shared" si="15"/>
        <v>4517</v>
      </c>
      <c r="Z25" s="38">
        <f t="shared" si="16"/>
        <v>2534</v>
      </c>
      <c r="AA25" s="38">
        <f t="shared" si="17"/>
        <v>4517</v>
      </c>
      <c r="AB25" s="38">
        <f t="shared" si="18"/>
        <v>2534</v>
      </c>
      <c r="AC25" s="38"/>
      <c r="AD25" s="38"/>
      <c r="AE25" s="38"/>
      <c r="AF25" s="38"/>
      <c r="AG25" s="38"/>
      <c r="AH25" s="25"/>
      <c r="AI25" s="25"/>
      <c r="AJ25" s="25"/>
      <c r="AK25" s="25"/>
      <c r="AL25" s="25"/>
      <c r="AM25" s="36">
        <f t="shared" si="19"/>
        <v>0</v>
      </c>
      <c r="AN25" s="36">
        <f t="shared" si="20"/>
        <v>0</v>
      </c>
      <c r="AO25" s="36">
        <f t="shared" si="21"/>
        <v>0</v>
      </c>
      <c r="AP25" s="36"/>
      <c r="AQ25" s="36"/>
      <c r="AR25" s="35">
        <f t="shared" si="22"/>
        <v>4517</v>
      </c>
      <c r="AS25" s="35">
        <f t="shared" si="23"/>
        <v>4517</v>
      </c>
      <c r="AT25" s="35">
        <f t="shared" si="24"/>
        <v>2534</v>
      </c>
      <c r="AU25" s="35">
        <f t="shared" si="27"/>
        <v>4517</v>
      </c>
      <c r="AV25" s="35">
        <f t="shared" si="25"/>
        <v>2534</v>
      </c>
      <c r="AW25" s="260">
        <f t="shared" si="26"/>
        <v>0.5609918087226035</v>
      </c>
    </row>
    <row r="26" spans="1:50" s="113" customFormat="1" ht="15">
      <c r="A26" s="13">
        <v>21</v>
      </c>
      <c r="B26" s="25">
        <v>562913</v>
      </c>
      <c r="C26" s="25" t="s">
        <v>137</v>
      </c>
      <c r="D26" s="25">
        <v>8113</v>
      </c>
      <c r="E26" s="25">
        <v>9257</v>
      </c>
      <c r="F26" s="25">
        <v>4039</v>
      </c>
      <c r="G26" s="25">
        <v>9313</v>
      </c>
      <c r="H26" s="25">
        <v>5982</v>
      </c>
      <c r="I26" s="25">
        <v>2237</v>
      </c>
      <c r="J26" s="25">
        <v>2552</v>
      </c>
      <c r="K26" s="25">
        <v>1110</v>
      </c>
      <c r="L26" s="25">
        <v>2568</v>
      </c>
      <c r="M26" s="25">
        <v>1669</v>
      </c>
      <c r="N26" s="25">
        <v>17717</v>
      </c>
      <c r="O26" s="25">
        <v>17733</v>
      </c>
      <c r="P26" s="25">
        <v>6074</v>
      </c>
      <c r="Q26" s="25">
        <v>18043</v>
      </c>
      <c r="R26" s="25">
        <v>10222</v>
      </c>
      <c r="S26" s="25"/>
      <c r="T26" s="25"/>
      <c r="U26" s="25"/>
      <c r="V26" s="25"/>
      <c r="W26" s="25"/>
      <c r="X26" s="38">
        <f t="shared" si="14"/>
        <v>28067</v>
      </c>
      <c r="Y26" s="38">
        <f t="shared" si="15"/>
        <v>29542</v>
      </c>
      <c r="Z26" s="38">
        <f t="shared" si="16"/>
        <v>11223</v>
      </c>
      <c r="AA26" s="38">
        <f t="shared" si="17"/>
        <v>29924</v>
      </c>
      <c r="AB26" s="38">
        <f t="shared" si="18"/>
        <v>17873</v>
      </c>
      <c r="AC26" s="38"/>
      <c r="AD26" s="38"/>
      <c r="AE26" s="38"/>
      <c r="AF26" s="38"/>
      <c r="AG26" s="38"/>
      <c r="AH26" s="25">
        <v>501</v>
      </c>
      <c r="AI26" s="25">
        <v>501</v>
      </c>
      <c r="AJ26" s="25">
        <f>256-1</f>
        <v>255</v>
      </c>
      <c r="AK26" s="25">
        <v>501</v>
      </c>
      <c r="AL26" s="25">
        <v>255</v>
      </c>
      <c r="AM26" s="255">
        <f t="shared" si="19"/>
        <v>501</v>
      </c>
      <c r="AN26" s="36">
        <f t="shared" si="20"/>
        <v>501</v>
      </c>
      <c r="AO26" s="36">
        <f t="shared" si="21"/>
        <v>255</v>
      </c>
      <c r="AP26" s="36">
        <v>501</v>
      </c>
      <c r="AQ26" s="36">
        <v>256</v>
      </c>
      <c r="AR26" s="35">
        <f t="shared" si="22"/>
        <v>28568</v>
      </c>
      <c r="AS26" s="35">
        <f t="shared" si="23"/>
        <v>30043</v>
      </c>
      <c r="AT26" s="35">
        <f t="shared" si="24"/>
        <v>11478</v>
      </c>
      <c r="AU26" s="35">
        <f t="shared" si="27"/>
        <v>30425</v>
      </c>
      <c r="AV26" s="35">
        <f t="shared" si="25"/>
        <v>18129</v>
      </c>
      <c r="AW26" s="260">
        <f t="shared" si="26"/>
        <v>0.5958586688578472</v>
      </c>
      <c r="AX26" s="113">
        <v>11478</v>
      </c>
    </row>
    <row r="27" spans="1:49" s="113" customFormat="1" ht="15">
      <c r="A27" s="13">
        <v>22</v>
      </c>
      <c r="B27" s="25">
        <v>562915</v>
      </c>
      <c r="C27" s="25" t="s">
        <v>138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>
        <v>2652</v>
      </c>
      <c r="O27" s="25">
        <v>2652</v>
      </c>
      <c r="P27" s="25">
        <v>756</v>
      </c>
      <c r="Q27" s="25">
        <v>2652</v>
      </c>
      <c r="R27" s="25">
        <v>725</v>
      </c>
      <c r="S27" s="25"/>
      <c r="T27" s="25"/>
      <c r="U27" s="25"/>
      <c r="V27" s="25"/>
      <c r="W27" s="25"/>
      <c r="X27" s="38">
        <f t="shared" si="14"/>
        <v>2652</v>
      </c>
      <c r="Y27" s="38">
        <f t="shared" si="15"/>
        <v>2652</v>
      </c>
      <c r="Z27" s="38">
        <f t="shared" si="16"/>
        <v>756</v>
      </c>
      <c r="AA27" s="38">
        <f t="shared" si="17"/>
        <v>2652</v>
      </c>
      <c r="AB27" s="38">
        <f t="shared" si="18"/>
        <v>725</v>
      </c>
      <c r="AC27" s="38"/>
      <c r="AD27" s="38"/>
      <c r="AE27" s="38"/>
      <c r="AF27" s="38"/>
      <c r="AG27" s="38"/>
      <c r="AH27" s="25"/>
      <c r="AI27" s="25"/>
      <c r="AJ27" s="25"/>
      <c r="AK27" s="25"/>
      <c r="AL27" s="25"/>
      <c r="AM27" s="36">
        <f t="shared" si="19"/>
        <v>0</v>
      </c>
      <c r="AN27" s="36">
        <f t="shared" si="20"/>
        <v>0</v>
      </c>
      <c r="AO27" s="36">
        <f t="shared" si="21"/>
        <v>0</v>
      </c>
      <c r="AP27" s="36"/>
      <c r="AQ27" s="36"/>
      <c r="AR27" s="35">
        <f t="shared" si="22"/>
        <v>2652</v>
      </c>
      <c r="AS27" s="35">
        <f t="shared" si="23"/>
        <v>2652</v>
      </c>
      <c r="AT27" s="300">
        <f t="shared" si="24"/>
        <v>756</v>
      </c>
      <c r="AU27" s="35">
        <f t="shared" si="27"/>
        <v>2652</v>
      </c>
      <c r="AV27" s="35">
        <f t="shared" si="25"/>
        <v>725</v>
      </c>
      <c r="AW27" s="260">
        <f t="shared" si="26"/>
        <v>0.2733785822021116</v>
      </c>
    </row>
    <row r="28" spans="1:49" ht="15">
      <c r="A28" s="13">
        <v>23</v>
      </c>
      <c r="B28" s="25">
        <v>562917</v>
      </c>
      <c r="C28" s="25" t="s">
        <v>21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>
        <v>3305</v>
      </c>
      <c r="O28" s="25">
        <v>3305</v>
      </c>
      <c r="P28" s="25">
        <v>693</v>
      </c>
      <c r="Q28" s="25">
        <v>3305</v>
      </c>
      <c r="R28" s="25">
        <v>693</v>
      </c>
      <c r="S28" s="25"/>
      <c r="T28" s="25"/>
      <c r="U28" s="25"/>
      <c r="V28" s="25"/>
      <c r="W28" s="25"/>
      <c r="X28" s="38">
        <f t="shared" si="14"/>
        <v>3305</v>
      </c>
      <c r="Y28" s="38">
        <f t="shared" si="15"/>
        <v>3305</v>
      </c>
      <c r="Z28" s="38">
        <f t="shared" si="16"/>
        <v>693</v>
      </c>
      <c r="AA28" s="38">
        <f t="shared" si="17"/>
        <v>3305</v>
      </c>
      <c r="AB28" s="38">
        <f t="shared" si="18"/>
        <v>693</v>
      </c>
      <c r="AC28" s="38"/>
      <c r="AD28" s="38"/>
      <c r="AE28" s="38"/>
      <c r="AF28" s="38"/>
      <c r="AG28" s="38"/>
      <c r="AH28" s="25"/>
      <c r="AI28" s="25"/>
      <c r="AJ28" s="25"/>
      <c r="AK28" s="25"/>
      <c r="AL28" s="25"/>
      <c r="AM28" s="36">
        <f t="shared" si="19"/>
        <v>0</v>
      </c>
      <c r="AN28" s="36">
        <f t="shared" si="20"/>
        <v>0</v>
      </c>
      <c r="AO28" s="36">
        <f t="shared" si="21"/>
        <v>0</v>
      </c>
      <c r="AP28" s="36"/>
      <c r="AQ28" s="36"/>
      <c r="AR28" s="35">
        <f t="shared" si="22"/>
        <v>3305</v>
      </c>
      <c r="AS28" s="35">
        <f t="shared" si="23"/>
        <v>3305</v>
      </c>
      <c r="AT28" s="35">
        <f t="shared" si="24"/>
        <v>693</v>
      </c>
      <c r="AU28" s="35">
        <f t="shared" si="27"/>
        <v>3305</v>
      </c>
      <c r="AV28" s="35">
        <f t="shared" si="25"/>
        <v>693</v>
      </c>
      <c r="AW28" s="260">
        <f t="shared" si="26"/>
        <v>0.2096822995461422</v>
      </c>
    </row>
    <row r="29" spans="1:49" s="113" customFormat="1" ht="15">
      <c r="A29" s="13">
        <v>24</v>
      </c>
      <c r="B29" s="37">
        <v>680001</v>
      </c>
      <c r="C29" s="37" t="s">
        <v>118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37">
        <v>254</v>
      </c>
      <c r="O29" s="37">
        <v>254</v>
      </c>
      <c r="P29" s="37">
        <v>9</v>
      </c>
      <c r="Q29" s="37">
        <v>254</v>
      </c>
      <c r="R29" s="37">
        <v>9</v>
      </c>
      <c r="S29" s="25"/>
      <c r="T29" s="25"/>
      <c r="U29" s="25"/>
      <c r="V29" s="25"/>
      <c r="W29" s="25"/>
      <c r="X29" s="38">
        <f t="shared" si="14"/>
        <v>254</v>
      </c>
      <c r="Y29" s="38">
        <f t="shared" si="15"/>
        <v>254</v>
      </c>
      <c r="Z29" s="38">
        <f t="shared" si="16"/>
        <v>9</v>
      </c>
      <c r="AA29" s="38">
        <f t="shared" si="17"/>
        <v>254</v>
      </c>
      <c r="AB29" s="38">
        <f t="shared" si="18"/>
        <v>9</v>
      </c>
      <c r="AC29" s="38"/>
      <c r="AD29" s="38"/>
      <c r="AE29" s="38"/>
      <c r="AF29" s="38"/>
      <c r="AG29" s="38"/>
      <c r="AH29" s="134"/>
      <c r="AI29" s="134">
        <v>1558</v>
      </c>
      <c r="AJ29" s="134">
        <v>1293</v>
      </c>
      <c r="AK29" s="134">
        <v>1558</v>
      </c>
      <c r="AL29" s="134">
        <v>1293</v>
      </c>
      <c r="AM29" s="36">
        <f t="shared" si="19"/>
        <v>0</v>
      </c>
      <c r="AN29" s="36">
        <f t="shared" si="20"/>
        <v>1558</v>
      </c>
      <c r="AO29" s="36">
        <f t="shared" si="21"/>
        <v>1293</v>
      </c>
      <c r="AP29" s="36">
        <v>1558</v>
      </c>
      <c r="AQ29" s="36">
        <v>1293</v>
      </c>
      <c r="AR29" s="35">
        <f t="shared" si="22"/>
        <v>254</v>
      </c>
      <c r="AS29" s="35">
        <f t="shared" si="23"/>
        <v>1812</v>
      </c>
      <c r="AT29" s="35">
        <f t="shared" si="24"/>
        <v>1302</v>
      </c>
      <c r="AU29" s="35">
        <f t="shared" si="27"/>
        <v>1812</v>
      </c>
      <c r="AV29" s="35">
        <f t="shared" si="25"/>
        <v>1302</v>
      </c>
      <c r="AW29" s="260">
        <f t="shared" si="26"/>
        <v>0.7185430463576159</v>
      </c>
    </row>
    <row r="30" spans="1:49" ht="15">
      <c r="A30" s="13">
        <v>25</v>
      </c>
      <c r="B30" s="37">
        <v>680002</v>
      </c>
      <c r="C30" s="37" t="s">
        <v>119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5">
        <v>4826</v>
      </c>
      <c r="O30" s="25">
        <v>4826</v>
      </c>
      <c r="P30" s="25">
        <v>1961</v>
      </c>
      <c r="Q30" s="25">
        <v>4826</v>
      </c>
      <c r="R30" s="25">
        <v>4334</v>
      </c>
      <c r="S30" s="25"/>
      <c r="T30" s="25"/>
      <c r="U30" s="25"/>
      <c r="V30" s="25"/>
      <c r="W30" s="25"/>
      <c r="X30" s="38">
        <f t="shared" si="14"/>
        <v>4826</v>
      </c>
      <c r="Y30" s="38">
        <f t="shared" si="15"/>
        <v>4826</v>
      </c>
      <c r="Z30" s="38">
        <f t="shared" si="16"/>
        <v>1961</v>
      </c>
      <c r="AA30" s="38">
        <f t="shared" si="17"/>
        <v>4826</v>
      </c>
      <c r="AB30" s="38">
        <f t="shared" si="18"/>
        <v>4334</v>
      </c>
      <c r="AC30" s="38"/>
      <c r="AD30" s="38"/>
      <c r="AE30" s="38"/>
      <c r="AF30" s="38"/>
      <c r="AG30" s="38"/>
      <c r="AH30" s="13"/>
      <c r="AI30" s="13"/>
      <c r="AJ30" s="13"/>
      <c r="AK30" s="13"/>
      <c r="AL30" s="13"/>
      <c r="AM30" s="36">
        <f t="shared" si="19"/>
        <v>0</v>
      </c>
      <c r="AN30" s="36">
        <f t="shared" si="20"/>
        <v>0</v>
      </c>
      <c r="AO30" s="36">
        <f t="shared" si="21"/>
        <v>0</v>
      </c>
      <c r="AP30" s="36"/>
      <c r="AQ30" s="36"/>
      <c r="AR30" s="35">
        <f t="shared" si="22"/>
        <v>4826</v>
      </c>
      <c r="AS30" s="35">
        <f t="shared" si="23"/>
        <v>4826</v>
      </c>
      <c r="AT30" s="35">
        <f t="shared" si="24"/>
        <v>1961</v>
      </c>
      <c r="AU30" s="35">
        <f t="shared" si="27"/>
        <v>4826</v>
      </c>
      <c r="AV30" s="35">
        <f t="shared" si="25"/>
        <v>4334</v>
      </c>
      <c r="AW30" s="260">
        <f t="shared" si="26"/>
        <v>0.8980522171570658</v>
      </c>
    </row>
    <row r="31" spans="1:49" ht="15">
      <c r="A31" s="13">
        <v>26</v>
      </c>
      <c r="B31" s="37">
        <v>750000</v>
      </c>
      <c r="C31" s="37" t="s">
        <v>120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37">
        <v>250</v>
      </c>
      <c r="O31" s="37">
        <v>250</v>
      </c>
      <c r="P31" s="37">
        <v>250</v>
      </c>
      <c r="Q31" s="37">
        <v>250</v>
      </c>
      <c r="R31" s="37">
        <v>250</v>
      </c>
      <c r="S31" s="13"/>
      <c r="T31" s="13"/>
      <c r="U31" s="13"/>
      <c r="V31" s="13"/>
      <c r="W31" s="13"/>
      <c r="X31" s="38">
        <f t="shared" si="14"/>
        <v>250</v>
      </c>
      <c r="Y31" s="38">
        <f t="shared" si="15"/>
        <v>250</v>
      </c>
      <c r="Z31" s="38">
        <f t="shared" si="16"/>
        <v>250</v>
      </c>
      <c r="AA31" s="38">
        <f t="shared" si="17"/>
        <v>250</v>
      </c>
      <c r="AB31" s="38">
        <f t="shared" si="18"/>
        <v>250</v>
      </c>
      <c r="AC31" s="38"/>
      <c r="AD31" s="38"/>
      <c r="AE31" s="38"/>
      <c r="AF31" s="38"/>
      <c r="AG31" s="38"/>
      <c r="AH31" s="13"/>
      <c r="AI31" s="13"/>
      <c r="AJ31" s="13"/>
      <c r="AK31" s="13"/>
      <c r="AL31" s="13"/>
      <c r="AM31" s="36">
        <f t="shared" si="19"/>
        <v>0</v>
      </c>
      <c r="AN31" s="36">
        <f t="shared" si="20"/>
        <v>0</v>
      </c>
      <c r="AO31" s="36">
        <f t="shared" si="21"/>
        <v>0</v>
      </c>
      <c r="AP31" s="36"/>
      <c r="AQ31" s="36"/>
      <c r="AR31" s="35">
        <f t="shared" si="22"/>
        <v>250</v>
      </c>
      <c r="AS31" s="35">
        <f t="shared" si="23"/>
        <v>250</v>
      </c>
      <c r="AT31" s="35">
        <f t="shared" si="24"/>
        <v>250</v>
      </c>
      <c r="AU31" s="35">
        <f t="shared" si="27"/>
        <v>250</v>
      </c>
      <c r="AV31" s="35">
        <f t="shared" si="25"/>
        <v>250</v>
      </c>
      <c r="AW31" s="260">
        <f t="shared" si="26"/>
        <v>1</v>
      </c>
    </row>
    <row r="32" spans="1:49" ht="15">
      <c r="A32" s="13">
        <v>27</v>
      </c>
      <c r="B32" s="37">
        <v>841358</v>
      </c>
      <c r="C32" s="37" t="s">
        <v>121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25">
        <v>3600</v>
      </c>
      <c r="T32" s="25">
        <v>3814</v>
      </c>
      <c r="U32" s="25">
        <v>2314</v>
      </c>
      <c r="V32" s="25">
        <v>3814</v>
      </c>
      <c r="W32" s="25">
        <v>2914</v>
      </c>
      <c r="X32" s="38">
        <f t="shared" si="14"/>
        <v>3600</v>
      </c>
      <c r="Y32" s="38">
        <f t="shared" si="15"/>
        <v>3814</v>
      </c>
      <c r="Z32" s="38">
        <f t="shared" si="16"/>
        <v>2314</v>
      </c>
      <c r="AA32" s="38">
        <f t="shared" si="17"/>
        <v>3814</v>
      </c>
      <c r="AB32" s="38">
        <f t="shared" si="18"/>
        <v>2914</v>
      </c>
      <c r="AC32" s="38"/>
      <c r="AD32" s="38"/>
      <c r="AE32" s="38"/>
      <c r="AF32" s="38"/>
      <c r="AG32" s="38"/>
      <c r="AH32" s="13"/>
      <c r="AI32" s="13"/>
      <c r="AJ32" s="13"/>
      <c r="AK32" s="13"/>
      <c r="AL32" s="13"/>
      <c r="AM32" s="36">
        <f t="shared" si="19"/>
        <v>0</v>
      </c>
      <c r="AN32" s="36">
        <f t="shared" si="20"/>
        <v>0</v>
      </c>
      <c r="AO32" s="36">
        <f t="shared" si="21"/>
        <v>0</v>
      </c>
      <c r="AP32" s="36"/>
      <c r="AQ32" s="36"/>
      <c r="AR32" s="35">
        <f t="shared" si="22"/>
        <v>3600</v>
      </c>
      <c r="AS32" s="35">
        <f t="shared" si="23"/>
        <v>3814</v>
      </c>
      <c r="AT32" s="35">
        <f t="shared" si="24"/>
        <v>2314</v>
      </c>
      <c r="AU32" s="35">
        <f t="shared" si="27"/>
        <v>3814</v>
      </c>
      <c r="AV32" s="35">
        <f t="shared" si="25"/>
        <v>2914</v>
      </c>
      <c r="AW32" s="260">
        <f t="shared" si="26"/>
        <v>0.7640272679601469</v>
      </c>
    </row>
    <row r="33" spans="1:49" ht="15">
      <c r="A33" s="13">
        <v>28</v>
      </c>
      <c r="B33" s="37">
        <v>811000</v>
      </c>
      <c r="C33" s="25" t="s">
        <v>141</v>
      </c>
      <c r="D33" s="25">
        <v>5460</v>
      </c>
      <c r="E33" s="25">
        <v>5552</v>
      </c>
      <c r="F33" s="25">
        <v>2646</v>
      </c>
      <c r="G33" s="25">
        <v>5597</v>
      </c>
      <c r="H33" s="25">
        <v>3965</v>
      </c>
      <c r="I33" s="25">
        <v>1514</v>
      </c>
      <c r="J33" s="25">
        <v>1538</v>
      </c>
      <c r="K33" s="25">
        <v>794</v>
      </c>
      <c r="L33" s="25">
        <v>1550</v>
      </c>
      <c r="M33" s="25">
        <v>1158</v>
      </c>
      <c r="N33" s="25">
        <v>470</v>
      </c>
      <c r="O33" s="25">
        <v>470</v>
      </c>
      <c r="P33" s="25">
        <v>440</v>
      </c>
      <c r="Q33" s="25">
        <v>470</v>
      </c>
      <c r="R33" s="25">
        <v>440</v>
      </c>
      <c r="S33" s="25"/>
      <c r="T33" s="25"/>
      <c r="U33" s="25"/>
      <c r="V33" s="25"/>
      <c r="W33" s="25"/>
      <c r="X33" s="38">
        <f t="shared" si="14"/>
        <v>7444</v>
      </c>
      <c r="Y33" s="38">
        <f t="shared" si="15"/>
        <v>7560</v>
      </c>
      <c r="Z33" s="38">
        <f t="shared" si="16"/>
        <v>3880</v>
      </c>
      <c r="AA33" s="38">
        <f t="shared" si="17"/>
        <v>7617</v>
      </c>
      <c r="AB33" s="38">
        <f t="shared" si="18"/>
        <v>5563</v>
      </c>
      <c r="AC33" s="38"/>
      <c r="AD33" s="38"/>
      <c r="AE33" s="38"/>
      <c r="AF33" s="38"/>
      <c r="AG33" s="38"/>
      <c r="AH33" s="25">
        <v>60</v>
      </c>
      <c r="AI33" s="25">
        <v>60</v>
      </c>
      <c r="AJ33" s="25">
        <v>61</v>
      </c>
      <c r="AK33" s="25">
        <v>60</v>
      </c>
      <c r="AL33" s="25">
        <v>61</v>
      </c>
      <c r="AM33" s="36">
        <f t="shared" si="19"/>
        <v>60</v>
      </c>
      <c r="AN33" s="36">
        <f t="shared" si="20"/>
        <v>60</v>
      </c>
      <c r="AO33" s="36">
        <f t="shared" si="21"/>
        <v>61</v>
      </c>
      <c r="AP33" s="36">
        <v>60</v>
      </c>
      <c r="AQ33" s="36">
        <v>61</v>
      </c>
      <c r="AR33" s="35">
        <f t="shared" si="22"/>
        <v>7504</v>
      </c>
      <c r="AS33" s="35">
        <f t="shared" si="23"/>
        <v>7620</v>
      </c>
      <c r="AT33" s="35">
        <f t="shared" si="24"/>
        <v>3941</v>
      </c>
      <c r="AU33" s="35">
        <f t="shared" si="27"/>
        <v>7677</v>
      </c>
      <c r="AV33" s="35">
        <f t="shared" si="25"/>
        <v>5624</v>
      </c>
      <c r="AW33" s="260">
        <f t="shared" si="26"/>
        <v>0.7325778298814641</v>
      </c>
    </row>
    <row r="34" spans="1:49" ht="15">
      <c r="A34" s="13">
        <v>29</v>
      </c>
      <c r="B34" s="37">
        <v>813000</v>
      </c>
      <c r="C34" s="25" t="s">
        <v>139</v>
      </c>
      <c r="D34" s="25">
        <v>13626</v>
      </c>
      <c r="E34" s="25">
        <v>13711</v>
      </c>
      <c r="F34" s="25">
        <v>5598</v>
      </c>
      <c r="G34" s="25">
        <v>14229</v>
      </c>
      <c r="H34" s="25">
        <v>8898</v>
      </c>
      <c r="I34" s="25">
        <v>3748</v>
      </c>
      <c r="J34" s="25">
        <v>3769</v>
      </c>
      <c r="K34" s="25">
        <v>1475</v>
      </c>
      <c r="L34" s="25">
        <v>3913</v>
      </c>
      <c r="M34" s="25">
        <v>2374</v>
      </c>
      <c r="N34" s="25">
        <v>12436</v>
      </c>
      <c r="O34" s="25">
        <v>12651</v>
      </c>
      <c r="P34" s="25">
        <v>5594</v>
      </c>
      <c r="Q34" s="25">
        <v>12681</v>
      </c>
      <c r="R34" s="25">
        <v>8311</v>
      </c>
      <c r="S34" s="25"/>
      <c r="T34" s="25"/>
      <c r="U34" s="25"/>
      <c r="V34" s="25"/>
      <c r="W34" s="25"/>
      <c r="X34" s="38">
        <f t="shared" si="14"/>
        <v>29810</v>
      </c>
      <c r="Y34" s="38">
        <f t="shared" si="15"/>
        <v>30131</v>
      </c>
      <c r="Z34" s="38">
        <f t="shared" si="16"/>
        <v>12667</v>
      </c>
      <c r="AA34" s="38">
        <f t="shared" si="17"/>
        <v>30823</v>
      </c>
      <c r="AB34" s="38">
        <f t="shared" si="18"/>
        <v>19583</v>
      </c>
      <c r="AC34" s="38"/>
      <c r="AD34" s="38"/>
      <c r="AE34" s="38"/>
      <c r="AF34" s="38"/>
      <c r="AG34" s="38"/>
      <c r="AH34" s="25">
        <v>872</v>
      </c>
      <c r="AI34" s="25">
        <v>872</v>
      </c>
      <c r="AJ34" s="25">
        <v>870</v>
      </c>
      <c r="AK34" s="25">
        <v>872</v>
      </c>
      <c r="AL34" s="25">
        <v>870</v>
      </c>
      <c r="AM34" s="36">
        <f t="shared" si="19"/>
        <v>872</v>
      </c>
      <c r="AN34" s="36">
        <f t="shared" si="20"/>
        <v>872</v>
      </c>
      <c r="AO34" s="36">
        <f t="shared" si="21"/>
        <v>870</v>
      </c>
      <c r="AP34" s="36">
        <v>872</v>
      </c>
      <c r="AQ34" s="36">
        <v>870</v>
      </c>
      <c r="AR34" s="35">
        <f t="shared" si="22"/>
        <v>30682</v>
      </c>
      <c r="AS34" s="35">
        <f t="shared" si="23"/>
        <v>31003</v>
      </c>
      <c r="AT34" s="35">
        <f t="shared" si="24"/>
        <v>13537</v>
      </c>
      <c r="AU34" s="35">
        <f t="shared" si="27"/>
        <v>31695</v>
      </c>
      <c r="AV34" s="35">
        <f t="shared" si="25"/>
        <v>20453</v>
      </c>
      <c r="AW34" s="260">
        <f t="shared" si="26"/>
        <v>0.6453068307303991</v>
      </c>
    </row>
    <row r="35" spans="1:49" s="113" customFormat="1" ht="15">
      <c r="A35" s="13">
        <v>30</v>
      </c>
      <c r="B35" s="37">
        <v>841154</v>
      </c>
      <c r="C35" s="37" t="s">
        <v>123</v>
      </c>
      <c r="D35" s="37">
        <v>17283</v>
      </c>
      <c r="E35" s="37">
        <v>17429</v>
      </c>
      <c r="F35" s="37">
        <v>7412</v>
      </c>
      <c r="G35" s="37">
        <v>17834</v>
      </c>
      <c r="H35" s="37">
        <v>11378</v>
      </c>
      <c r="I35" s="37">
        <v>5465</v>
      </c>
      <c r="J35" s="37">
        <v>5512</v>
      </c>
      <c r="K35" s="37">
        <v>2642</v>
      </c>
      <c r="L35" s="37">
        <v>5602</v>
      </c>
      <c r="M35" s="37">
        <v>3680</v>
      </c>
      <c r="N35" s="37">
        <v>15836</v>
      </c>
      <c r="O35" s="37">
        <v>15996</v>
      </c>
      <c r="P35" s="37">
        <f>6771+1</f>
        <v>6772</v>
      </c>
      <c r="Q35" s="37">
        <v>16937</v>
      </c>
      <c r="R35" s="37">
        <v>10824</v>
      </c>
      <c r="S35" s="134"/>
      <c r="T35" s="134"/>
      <c r="U35" s="134"/>
      <c r="V35" s="134"/>
      <c r="W35" s="134"/>
      <c r="X35" s="38">
        <f t="shared" si="14"/>
        <v>38584</v>
      </c>
      <c r="Y35" s="38">
        <f t="shared" si="15"/>
        <v>38937</v>
      </c>
      <c r="Z35" s="38">
        <f t="shared" si="16"/>
        <v>16826</v>
      </c>
      <c r="AA35" s="38">
        <f t="shared" si="17"/>
        <v>40373</v>
      </c>
      <c r="AB35" s="38">
        <f t="shared" si="18"/>
        <v>25882</v>
      </c>
      <c r="AC35" s="38"/>
      <c r="AD35" s="38"/>
      <c r="AE35" s="38"/>
      <c r="AF35" s="38"/>
      <c r="AG35" s="38"/>
      <c r="AH35" s="37">
        <v>1591</v>
      </c>
      <c r="AI35" s="37">
        <f>1591+160</f>
        <v>1751</v>
      </c>
      <c r="AJ35" s="37">
        <v>1540</v>
      </c>
      <c r="AK35" s="37">
        <v>1591</v>
      </c>
      <c r="AL35" s="37">
        <v>1540</v>
      </c>
      <c r="AM35" s="36">
        <f t="shared" si="19"/>
        <v>1591</v>
      </c>
      <c r="AN35" s="36">
        <f t="shared" si="20"/>
        <v>1751</v>
      </c>
      <c r="AO35" s="36">
        <f t="shared" si="21"/>
        <v>1540</v>
      </c>
      <c r="AP35" s="36">
        <v>1591</v>
      </c>
      <c r="AQ35" s="301">
        <v>1540</v>
      </c>
      <c r="AR35" s="35">
        <f t="shared" si="22"/>
        <v>40175</v>
      </c>
      <c r="AS35" s="35">
        <f t="shared" si="23"/>
        <v>40688</v>
      </c>
      <c r="AT35" s="35">
        <f t="shared" si="24"/>
        <v>18366</v>
      </c>
      <c r="AU35" s="35">
        <f t="shared" si="27"/>
        <v>41964</v>
      </c>
      <c r="AV35" s="35">
        <f t="shared" si="25"/>
        <v>27422</v>
      </c>
      <c r="AW35" s="260">
        <f t="shared" si="26"/>
        <v>0.6534648746544657</v>
      </c>
    </row>
    <row r="36" spans="1:49" ht="15">
      <c r="A36" s="13">
        <v>31</v>
      </c>
      <c r="B36" s="37">
        <v>841402</v>
      </c>
      <c r="C36" s="37" t="s">
        <v>122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37">
        <v>17302</v>
      </c>
      <c r="O36" s="37">
        <v>17302</v>
      </c>
      <c r="P36" s="37">
        <v>5079</v>
      </c>
      <c r="Q36" s="37">
        <v>17302</v>
      </c>
      <c r="R36" s="37">
        <v>7844</v>
      </c>
      <c r="S36" s="13"/>
      <c r="T36" s="13"/>
      <c r="U36" s="13"/>
      <c r="V36" s="13"/>
      <c r="W36" s="13"/>
      <c r="X36" s="38">
        <f t="shared" si="14"/>
        <v>17302</v>
      </c>
      <c r="Y36" s="38">
        <f t="shared" si="15"/>
        <v>17302</v>
      </c>
      <c r="Z36" s="38">
        <f t="shared" si="16"/>
        <v>5079</v>
      </c>
      <c r="AA36" s="38">
        <f t="shared" si="17"/>
        <v>17302</v>
      </c>
      <c r="AB36" s="38">
        <f t="shared" si="18"/>
        <v>7844</v>
      </c>
      <c r="AC36" s="38"/>
      <c r="AD36" s="38"/>
      <c r="AE36" s="38"/>
      <c r="AF36" s="38"/>
      <c r="AG36" s="38"/>
      <c r="AH36" s="13"/>
      <c r="AI36" s="13"/>
      <c r="AJ36" s="13"/>
      <c r="AK36" s="13"/>
      <c r="AL36" s="13"/>
      <c r="AM36" s="36">
        <f t="shared" si="19"/>
        <v>0</v>
      </c>
      <c r="AN36" s="36">
        <f t="shared" si="20"/>
        <v>0</v>
      </c>
      <c r="AO36" s="36">
        <f t="shared" si="21"/>
        <v>0</v>
      </c>
      <c r="AP36" s="36"/>
      <c r="AQ36" s="36"/>
      <c r="AR36" s="35">
        <f t="shared" si="22"/>
        <v>17302</v>
      </c>
      <c r="AS36" s="35">
        <f t="shared" si="23"/>
        <v>17302</v>
      </c>
      <c r="AT36" s="35">
        <f t="shared" si="24"/>
        <v>5079</v>
      </c>
      <c r="AU36" s="35">
        <f t="shared" si="27"/>
        <v>17302</v>
      </c>
      <c r="AV36" s="35">
        <f t="shared" si="25"/>
        <v>7844</v>
      </c>
      <c r="AW36" s="260">
        <f t="shared" si="26"/>
        <v>0.45335799329557275</v>
      </c>
    </row>
    <row r="37" spans="1:49" ht="15">
      <c r="A37" s="13">
        <v>32</v>
      </c>
      <c r="B37" s="37">
        <v>841403</v>
      </c>
      <c r="C37" s="37" t="s">
        <v>124</v>
      </c>
      <c r="D37" s="58">
        <v>1259</v>
      </c>
      <c r="E37" s="58">
        <v>1440</v>
      </c>
      <c r="F37" s="58">
        <v>646</v>
      </c>
      <c r="G37" s="58">
        <v>1440</v>
      </c>
      <c r="H37" s="58">
        <v>1310</v>
      </c>
      <c r="I37" s="226">
        <v>347</v>
      </c>
      <c r="J37" s="226">
        <v>347</v>
      </c>
      <c r="K37" s="226">
        <v>60</v>
      </c>
      <c r="L37" s="226">
        <v>347</v>
      </c>
      <c r="M37" s="226">
        <v>184</v>
      </c>
      <c r="N37" s="25">
        <v>21975</v>
      </c>
      <c r="O37" s="25">
        <v>22086</v>
      </c>
      <c r="P37" s="25">
        <v>8691</v>
      </c>
      <c r="Q37" s="25">
        <v>23072</v>
      </c>
      <c r="R37" s="25">
        <v>16155</v>
      </c>
      <c r="S37" s="25"/>
      <c r="T37" s="25"/>
      <c r="U37" s="25"/>
      <c r="V37" s="25"/>
      <c r="W37" s="25"/>
      <c r="X37" s="38">
        <f t="shared" si="14"/>
        <v>23581</v>
      </c>
      <c r="Y37" s="38">
        <f t="shared" si="15"/>
        <v>23873</v>
      </c>
      <c r="Z37" s="38">
        <f t="shared" si="16"/>
        <v>9397</v>
      </c>
      <c r="AA37" s="38">
        <f t="shared" si="17"/>
        <v>24859</v>
      </c>
      <c r="AB37" s="38">
        <f t="shared" si="18"/>
        <v>17649</v>
      </c>
      <c r="AC37" s="38">
        <v>2500</v>
      </c>
      <c r="AD37" s="38">
        <v>2500</v>
      </c>
      <c r="AE37" s="38">
        <v>42</v>
      </c>
      <c r="AF37" s="38">
        <v>2500</v>
      </c>
      <c r="AG37" s="38">
        <v>42</v>
      </c>
      <c r="AH37" s="25">
        <v>1337</v>
      </c>
      <c r="AI37" s="25">
        <f>4184-1558-160</f>
        <v>2466</v>
      </c>
      <c r="AJ37" s="25">
        <f>1815-315</f>
        <v>1500</v>
      </c>
      <c r="AK37" s="25">
        <v>3904</v>
      </c>
      <c r="AL37" s="25">
        <v>1533</v>
      </c>
      <c r="AM37" s="36">
        <f t="shared" si="19"/>
        <v>3837</v>
      </c>
      <c r="AN37" s="36">
        <f t="shared" si="20"/>
        <v>4966</v>
      </c>
      <c r="AO37" s="36">
        <f t="shared" si="21"/>
        <v>1542</v>
      </c>
      <c r="AP37" s="36">
        <f>AF37+AK37</f>
        <v>6404</v>
      </c>
      <c r="AQ37" s="36">
        <f>AG37+AL37</f>
        <v>1575</v>
      </c>
      <c r="AR37" s="35">
        <f t="shared" si="22"/>
        <v>27418</v>
      </c>
      <c r="AS37" s="35">
        <f t="shared" si="23"/>
        <v>28839</v>
      </c>
      <c r="AT37" s="35">
        <f t="shared" si="24"/>
        <v>10939</v>
      </c>
      <c r="AU37" s="35">
        <f t="shared" si="27"/>
        <v>31263</v>
      </c>
      <c r="AV37" s="35">
        <f t="shared" si="25"/>
        <v>19224</v>
      </c>
      <c r="AW37" s="260">
        <f t="shared" si="26"/>
        <v>0.6149121965262451</v>
      </c>
    </row>
    <row r="38" spans="1:49" ht="15">
      <c r="A38" s="13">
        <v>33</v>
      </c>
      <c r="B38" s="37">
        <v>842155</v>
      </c>
      <c r="C38" s="37" t="s">
        <v>125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25">
        <v>635</v>
      </c>
      <c r="O38" s="25">
        <v>635</v>
      </c>
      <c r="P38" s="25">
        <v>90</v>
      </c>
      <c r="Q38" s="25">
        <v>1035</v>
      </c>
      <c r="R38" s="25">
        <v>1248</v>
      </c>
      <c r="S38" s="25"/>
      <c r="T38" s="25"/>
      <c r="U38" s="25"/>
      <c r="V38" s="25"/>
      <c r="W38" s="25"/>
      <c r="X38" s="38">
        <f t="shared" si="14"/>
        <v>635</v>
      </c>
      <c r="Y38" s="38">
        <f t="shared" si="15"/>
        <v>635</v>
      </c>
      <c r="Z38" s="38">
        <f t="shared" si="16"/>
        <v>90</v>
      </c>
      <c r="AA38" s="38">
        <f t="shared" si="17"/>
        <v>1035</v>
      </c>
      <c r="AB38" s="38">
        <f t="shared" si="18"/>
        <v>1248</v>
      </c>
      <c r="AC38" s="38"/>
      <c r="AD38" s="38"/>
      <c r="AE38" s="38"/>
      <c r="AF38" s="38"/>
      <c r="AG38" s="38"/>
      <c r="AH38" s="25"/>
      <c r="AI38" s="25"/>
      <c r="AJ38" s="25"/>
      <c r="AK38" s="25"/>
      <c r="AL38" s="25"/>
      <c r="AM38" s="36">
        <f t="shared" si="19"/>
        <v>0</v>
      </c>
      <c r="AN38" s="36">
        <f t="shared" si="20"/>
        <v>0</v>
      </c>
      <c r="AO38" s="36">
        <f t="shared" si="21"/>
        <v>0</v>
      </c>
      <c r="AP38" s="36"/>
      <c r="AQ38" s="36"/>
      <c r="AR38" s="35">
        <f t="shared" si="22"/>
        <v>635</v>
      </c>
      <c r="AS38" s="35">
        <f t="shared" si="23"/>
        <v>635</v>
      </c>
      <c r="AT38" s="35">
        <f t="shared" si="24"/>
        <v>90</v>
      </c>
      <c r="AU38" s="35">
        <f t="shared" si="27"/>
        <v>1035</v>
      </c>
      <c r="AV38" s="35">
        <f t="shared" si="25"/>
        <v>1248</v>
      </c>
      <c r="AW38" s="260">
        <f t="shared" si="26"/>
        <v>1.2057971014492754</v>
      </c>
    </row>
    <row r="39" spans="1:49" ht="15">
      <c r="A39" s="13">
        <v>34</v>
      </c>
      <c r="B39" s="37">
        <v>852011</v>
      </c>
      <c r="C39" s="37" t="s">
        <v>330</v>
      </c>
      <c r="D39" s="37">
        <v>450</v>
      </c>
      <c r="E39" s="37">
        <v>450</v>
      </c>
      <c r="F39" s="37">
        <v>240</v>
      </c>
      <c r="G39" s="37">
        <v>450</v>
      </c>
      <c r="H39" s="37">
        <v>300</v>
      </c>
      <c r="I39" s="37">
        <v>108</v>
      </c>
      <c r="J39" s="37">
        <v>108</v>
      </c>
      <c r="K39" s="37">
        <v>58</v>
      </c>
      <c r="L39" s="37">
        <v>108</v>
      </c>
      <c r="M39" s="37">
        <v>73</v>
      </c>
      <c r="N39" s="25">
        <v>7757</v>
      </c>
      <c r="O39" s="25">
        <v>7827</v>
      </c>
      <c r="P39" s="25">
        <v>5313</v>
      </c>
      <c r="Q39" s="25">
        <v>7827</v>
      </c>
      <c r="R39" s="25">
        <v>5333</v>
      </c>
      <c r="S39" s="25"/>
      <c r="T39" s="25"/>
      <c r="U39" s="25"/>
      <c r="V39" s="25"/>
      <c r="W39" s="25"/>
      <c r="X39" s="38">
        <f t="shared" si="14"/>
        <v>8315</v>
      </c>
      <c r="Y39" s="38">
        <f t="shared" si="15"/>
        <v>8385</v>
      </c>
      <c r="Z39" s="38">
        <f t="shared" si="16"/>
        <v>5611</v>
      </c>
      <c r="AA39" s="38">
        <f t="shared" si="17"/>
        <v>8385</v>
      </c>
      <c r="AB39" s="38">
        <f t="shared" si="18"/>
        <v>5706</v>
      </c>
      <c r="AC39" s="38"/>
      <c r="AD39" s="38"/>
      <c r="AE39" s="38"/>
      <c r="AF39" s="38"/>
      <c r="AG39" s="38"/>
      <c r="AH39" s="13"/>
      <c r="AI39" s="13"/>
      <c r="AJ39" s="13"/>
      <c r="AK39" s="13"/>
      <c r="AL39" s="13"/>
      <c r="AM39" s="36">
        <f t="shared" si="19"/>
        <v>0</v>
      </c>
      <c r="AN39" s="36">
        <f t="shared" si="20"/>
        <v>0</v>
      </c>
      <c r="AO39" s="36">
        <f t="shared" si="21"/>
        <v>0</v>
      </c>
      <c r="AP39" s="36"/>
      <c r="AQ39" s="36"/>
      <c r="AR39" s="35">
        <f t="shared" si="22"/>
        <v>8315</v>
      </c>
      <c r="AS39" s="35">
        <f t="shared" si="23"/>
        <v>8385</v>
      </c>
      <c r="AT39" s="35">
        <f t="shared" si="24"/>
        <v>5611</v>
      </c>
      <c r="AU39" s="35">
        <f t="shared" si="27"/>
        <v>8385</v>
      </c>
      <c r="AV39" s="35">
        <f t="shared" si="25"/>
        <v>5706</v>
      </c>
      <c r="AW39" s="260">
        <f t="shared" si="26"/>
        <v>0.6805008944543828</v>
      </c>
    </row>
    <row r="40" spans="1:49" ht="15">
      <c r="A40" s="13">
        <v>35</v>
      </c>
      <c r="B40" s="37">
        <v>862101</v>
      </c>
      <c r="C40" s="37" t="s">
        <v>132</v>
      </c>
      <c r="D40" s="25">
        <v>2853</v>
      </c>
      <c r="E40" s="25">
        <v>2986</v>
      </c>
      <c r="F40" s="25">
        <v>1412</v>
      </c>
      <c r="G40" s="25">
        <v>3022</v>
      </c>
      <c r="H40" s="25">
        <v>2137</v>
      </c>
      <c r="I40" s="25">
        <v>785</v>
      </c>
      <c r="J40" s="25">
        <v>804</v>
      </c>
      <c r="K40" s="25">
        <v>382</v>
      </c>
      <c r="L40" s="25">
        <v>813</v>
      </c>
      <c r="M40" s="25">
        <v>577</v>
      </c>
      <c r="N40" s="37">
        <v>4290</v>
      </c>
      <c r="O40" s="37">
        <v>6720</v>
      </c>
      <c r="P40" s="37">
        <v>4886</v>
      </c>
      <c r="Q40" s="37">
        <v>6803</v>
      </c>
      <c r="R40" s="37">
        <v>5950</v>
      </c>
      <c r="S40" s="37"/>
      <c r="T40" s="37"/>
      <c r="U40" s="37"/>
      <c r="V40" s="37"/>
      <c r="W40" s="37"/>
      <c r="X40" s="38">
        <f t="shared" si="14"/>
        <v>7928</v>
      </c>
      <c r="Y40" s="38">
        <f t="shared" si="15"/>
        <v>10510</v>
      </c>
      <c r="Z40" s="38">
        <f t="shared" si="16"/>
        <v>6680</v>
      </c>
      <c r="AA40" s="38">
        <f t="shared" si="17"/>
        <v>10638</v>
      </c>
      <c r="AB40" s="38">
        <f t="shared" si="18"/>
        <v>8664</v>
      </c>
      <c r="AC40" s="38"/>
      <c r="AD40" s="38"/>
      <c r="AE40" s="38"/>
      <c r="AF40" s="38"/>
      <c r="AG40" s="38"/>
      <c r="AH40" s="13"/>
      <c r="AI40" s="13"/>
      <c r="AJ40" s="13"/>
      <c r="AK40" s="13"/>
      <c r="AL40" s="13"/>
      <c r="AM40" s="36">
        <f t="shared" si="19"/>
        <v>0</v>
      </c>
      <c r="AN40" s="36">
        <f t="shared" si="20"/>
        <v>0</v>
      </c>
      <c r="AO40" s="36">
        <f t="shared" si="21"/>
        <v>0</v>
      </c>
      <c r="AP40" s="36"/>
      <c r="AQ40" s="36"/>
      <c r="AR40" s="35">
        <f t="shared" si="22"/>
        <v>7928</v>
      </c>
      <c r="AS40" s="35">
        <f t="shared" si="23"/>
        <v>10510</v>
      </c>
      <c r="AT40" s="35">
        <f t="shared" si="24"/>
        <v>6680</v>
      </c>
      <c r="AU40" s="35">
        <f t="shared" si="27"/>
        <v>10638</v>
      </c>
      <c r="AV40" s="35">
        <f t="shared" si="25"/>
        <v>8664</v>
      </c>
      <c r="AW40" s="260">
        <f t="shared" si="26"/>
        <v>0.81443880428652</v>
      </c>
    </row>
    <row r="41" spans="1:49" ht="15">
      <c r="A41" s="13">
        <v>36</v>
      </c>
      <c r="B41" s="37">
        <v>862102</v>
      </c>
      <c r="C41" s="37" t="s">
        <v>135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25">
        <v>1550</v>
      </c>
      <c r="O41" s="25">
        <v>1550</v>
      </c>
      <c r="P41" s="25">
        <v>209</v>
      </c>
      <c r="Q41" s="25">
        <v>1673</v>
      </c>
      <c r="R41" s="25">
        <v>832</v>
      </c>
      <c r="S41" s="25"/>
      <c r="T41" s="25"/>
      <c r="U41" s="25"/>
      <c r="V41" s="25"/>
      <c r="W41" s="25"/>
      <c r="X41" s="38">
        <f t="shared" si="14"/>
        <v>1550</v>
      </c>
      <c r="Y41" s="38">
        <f t="shared" si="15"/>
        <v>1550</v>
      </c>
      <c r="Z41" s="38">
        <f t="shared" si="16"/>
        <v>209</v>
      </c>
      <c r="AA41" s="38">
        <f t="shared" si="17"/>
        <v>1673</v>
      </c>
      <c r="AB41" s="38">
        <f t="shared" si="18"/>
        <v>832</v>
      </c>
      <c r="AC41" s="38"/>
      <c r="AD41" s="38"/>
      <c r="AE41" s="38"/>
      <c r="AF41" s="38"/>
      <c r="AG41" s="38"/>
      <c r="AH41" s="13"/>
      <c r="AI41" s="13"/>
      <c r="AJ41" s="13"/>
      <c r="AK41" s="13"/>
      <c r="AL41" s="13"/>
      <c r="AM41" s="36">
        <f t="shared" si="19"/>
        <v>0</v>
      </c>
      <c r="AN41" s="36">
        <f t="shared" si="20"/>
        <v>0</v>
      </c>
      <c r="AO41" s="36">
        <f t="shared" si="21"/>
        <v>0</v>
      </c>
      <c r="AP41" s="36"/>
      <c r="AQ41" s="36"/>
      <c r="AR41" s="35">
        <f t="shared" si="22"/>
        <v>1550</v>
      </c>
      <c r="AS41" s="35">
        <f t="shared" si="23"/>
        <v>1550</v>
      </c>
      <c r="AT41" s="35">
        <f t="shared" si="24"/>
        <v>209</v>
      </c>
      <c r="AU41" s="35">
        <f t="shared" si="27"/>
        <v>1673</v>
      </c>
      <c r="AV41" s="35">
        <f t="shared" si="25"/>
        <v>832</v>
      </c>
      <c r="AW41" s="260">
        <f t="shared" si="26"/>
        <v>0.49731022115959356</v>
      </c>
    </row>
    <row r="42" spans="1:49" ht="15">
      <c r="A42" s="13">
        <v>37</v>
      </c>
      <c r="B42" s="37">
        <v>862231</v>
      </c>
      <c r="C42" s="37" t="s">
        <v>133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7">
        <v>300</v>
      </c>
      <c r="O42" s="37">
        <v>300</v>
      </c>
      <c r="P42" s="37">
        <v>0</v>
      </c>
      <c r="Q42" s="37">
        <v>300</v>
      </c>
      <c r="R42" s="37"/>
      <c r="S42" s="13"/>
      <c r="T42" s="13"/>
      <c r="U42" s="13"/>
      <c r="V42" s="13"/>
      <c r="W42" s="13"/>
      <c r="X42" s="38">
        <f t="shared" si="14"/>
        <v>300</v>
      </c>
      <c r="Y42" s="38">
        <f t="shared" si="15"/>
        <v>300</v>
      </c>
      <c r="Z42" s="38">
        <f t="shared" si="16"/>
        <v>0</v>
      </c>
      <c r="AA42" s="38">
        <f t="shared" si="17"/>
        <v>300</v>
      </c>
      <c r="AB42" s="38">
        <f t="shared" si="18"/>
        <v>0</v>
      </c>
      <c r="AC42" s="38"/>
      <c r="AD42" s="38"/>
      <c r="AE42" s="38"/>
      <c r="AF42" s="38"/>
      <c r="AG42" s="38"/>
      <c r="AH42" s="13"/>
      <c r="AI42" s="13"/>
      <c r="AJ42" s="13"/>
      <c r="AK42" s="13"/>
      <c r="AL42" s="13"/>
      <c r="AM42" s="36">
        <f t="shared" si="19"/>
        <v>0</v>
      </c>
      <c r="AN42" s="36">
        <f t="shared" si="20"/>
        <v>0</v>
      </c>
      <c r="AO42" s="36">
        <f t="shared" si="21"/>
        <v>0</v>
      </c>
      <c r="AP42" s="36"/>
      <c r="AQ42" s="36"/>
      <c r="AR42" s="35">
        <f t="shared" si="22"/>
        <v>300</v>
      </c>
      <c r="AS42" s="35">
        <f t="shared" si="23"/>
        <v>300</v>
      </c>
      <c r="AT42" s="35">
        <f t="shared" si="24"/>
        <v>0</v>
      </c>
      <c r="AU42" s="35">
        <f t="shared" si="27"/>
        <v>300</v>
      </c>
      <c r="AV42" s="35">
        <f t="shared" si="25"/>
        <v>0</v>
      </c>
      <c r="AW42" s="260">
        <f t="shared" si="26"/>
        <v>0</v>
      </c>
    </row>
    <row r="43" spans="1:49" ht="17.25" customHeight="1">
      <c r="A43" s="13">
        <v>38</v>
      </c>
      <c r="B43" s="37">
        <v>862301</v>
      </c>
      <c r="C43" s="37" t="s">
        <v>134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25">
        <v>1200</v>
      </c>
      <c r="O43" s="25">
        <v>1200</v>
      </c>
      <c r="P43" s="25">
        <v>0</v>
      </c>
      <c r="Q43" s="25">
        <v>1200</v>
      </c>
      <c r="R43" s="25"/>
      <c r="S43" s="25"/>
      <c r="T43" s="25"/>
      <c r="U43" s="25"/>
      <c r="V43" s="25"/>
      <c r="W43" s="25"/>
      <c r="X43" s="38">
        <f t="shared" si="14"/>
        <v>1200</v>
      </c>
      <c r="Y43" s="38">
        <f t="shared" si="15"/>
        <v>1200</v>
      </c>
      <c r="Z43" s="38">
        <f t="shared" si="16"/>
        <v>0</v>
      </c>
      <c r="AA43" s="38">
        <f t="shared" si="17"/>
        <v>1200</v>
      </c>
      <c r="AB43" s="38">
        <f t="shared" si="18"/>
        <v>0</v>
      </c>
      <c r="AC43" s="38"/>
      <c r="AD43" s="38"/>
      <c r="AE43" s="38"/>
      <c r="AF43" s="38"/>
      <c r="AG43" s="38"/>
      <c r="AH43" s="13"/>
      <c r="AI43" s="13"/>
      <c r="AJ43" s="13"/>
      <c r="AK43" s="13"/>
      <c r="AL43" s="13"/>
      <c r="AM43" s="36">
        <f t="shared" si="19"/>
        <v>0</v>
      </c>
      <c r="AN43" s="36">
        <f t="shared" si="20"/>
        <v>0</v>
      </c>
      <c r="AO43" s="36">
        <f t="shared" si="21"/>
        <v>0</v>
      </c>
      <c r="AP43" s="36"/>
      <c r="AQ43" s="36"/>
      <c r="AR43" s="35">
        <f t="shared" si="22"/>
        <v>1200</v>
      </c>
      <c r="AS43" s="35">
        <f t="shared" si="23"/>
        <v>1200</v>
      </c>
      <c r="AT43" s="35">
        <f t="shared" si="24"/>
        <v>0</v>
      </c>
      <c r="AU43" s="35">
        <f t="shared" si="27"/>
        <v>1200</v>
      </c>
      <c r="AV43" s="35">
        <f t="shared" si="25"/>
        <v>0</v>
      </c>
      <c r="AW43" s="260">
        <f t="shared" si="26"/>
        <v>0</v>
      </c>
    </row>
    <row r="44" spans="1:49" ht="15">
      <c r="A44" s="13">
        <v>39</v>
      </c>
      <c r="B44" s="37">
        <v>869041</v>
      </c>
      <c r="C44" s="37" t="s">
        <v>131</v>
      </c>
      <c r="D44" s="25">
        <v>2679</v>
      </c>
      <c r="E44" s="25">
        <v>2679</v>
      </c>
      <c r="F44" s="25">
        <v>1221</v>
      </c>
      <c r="G44" s="25">
        <v>2844</v>
      </c>
      <c r="H44" s="25">
        <v>1808</v>
      </c>
      <c r="I44" s="25">
        <v>691</v>
      </c>
      <c r="J44" s="25">
        <v>691</v>
      </c>
      <c r="K44" s="25">
        <v>290</v>
      </c>
      <c r="L44" s="25">
        <v>735</v>
      </c>
      <c r="M44" s="25">
        <v>435</v>
      </c>
      <c r="N44" s="37">
        <v>923</v>
      </c>
      <c r="O44" s="37">
        <v>923</v>
      </c>
      <c r="P44" s="37">
        <v>535</v>
      </c>
      <c r="Q44" s="37">
        <v>923</v>
      </c>
      <c r="R44" s="37">
        <v>689</v>
      </c>
      <c r="S44" s="13"/>
      <c r="T44" s="13"/>
      <c r="U44" s="13"/>
      <c r="V44" s="13"/>
      <c r="W44" s="13"/>
      <c r="X44" s="38">
        <f t="shared" si="14"/>
        <v>4293</v>
      </c>
      <c r="Y44" s="38">
        <f t="shared" si="15"/>
        <v>4293</v>
      </c>
      <c r="Z44" s="38">
        <f t="shared" si="16"/>
        <v>2046</v>
      </c>
      <c r="AA44" s="38">
        <f t="shared" si="17"/>
        <v>4502</v>
      </c>
      <c r="AB44" s="38">
        <f t="shared" si="18"/>
        <v>2932</v>
      </c>
      <c r="AC44" s="38"/>
      <c r="AD44" s="38"/>
      <c r="AE44" s="38"/>
      <c r="AF44" s="38"/>
      <c r="AG44" s="38"/>
      <c r="AH44" s="37"/>
      <c r="AI44" s="37"/>
      <c r="AJ44" s="37"/>
      <c r="AK44" s="37"/>
      <c r="AL44" s="37"/>
      <c r="AM44" s="36">
        <f t="shared" si="19"/>
        <v>0</v>
      </c>
      <c r="AN44" s="36">
        <f t="shared" si="20"/>
        <v>0</v>
      </c>
      <c r="AO44" s="36">
        <f t="shared" si="21"/>
        <v>0</v>
      </c>
      <c r="AP44" s="36"/>
      <c r="AQ44" s="36"/>
      <c r="AR44" s="35">
        <f t="shared" si="22"/>
        <v>4293</v>
      </c>
      <c r="AS44" s="35">
        <f t="shared" si="23"/>
        <v>4293</v>
      </c>
      <c r="AT44" s="35">
        <f t="shared" si="24"/>
        <v>2046</v>
      </c>
      <c r="AU44" s="35">
        <f t="shared" si="27"/>
        <v>4502</v>
      </c>
      <c r="AV44" s="35">
        <f t="shared" si="25"/>
        <v>2932</v>
      </c>
      <c r="AW44" s="260">
        <f t="shared" si="26"/>
        <v>0.6512661039537984</v>
      </c>
    </row>
    <row r="45" spans="1:49" ht="15">
      <c r="A45" s="13">
        <v>40</v>
      </c>
      <c r="B45" s="25">
        <v>889921</v>
      </c>
      <c r="C45" s="25" t="s">
        <v>22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>
        <v>1421</v>
      </c>
      <c r="O45" s="25">
        <v>1421</v>
      </c>
      <c r="P45" s="25">
        <v>536</v>
      </c>
      <c r="Q45" s="25">
        <v>1421</v>
      </c>
      <c r="R45" s="25">
        <v>567</v>
      </c>
      <c r="S45" s="25"/>
      <c r="T45" s="25"/>
      <c r="U45" s="25"/>
      <c r="V45" s="25"/>
      <c r="W45" s="25"/>
      <c r="X45" s="38">
        <f t="shared" si="14"/>
        <v>1421</v>
      </c>
      <c r="Y45" s="38">
        <f t="shared" si="15"/>
        <v>1421</v>
      </c>
      <c r="Z45" s="38">
        <f t="shared" si="16"/>
        <v>536</v>
      </c>
      <c r="AA45" s="38">
        <f t="shared" si="17"/>
        <v>1421</v>
      </c>
      <c r="AB45" s="38">
        <f t="shared" si="18"/>
        <v>567</v>
      </c>
      <c r="AC45" s="38"/>
      <c r="AD45" s="38"/>
      <c r="AE45" s="38"/>
      <c r="AF45" s="38"/>
      <c r="AG45" s="38"/>
      <c r="AH45" s="25"/>
      <c r="AI45" s="25"/>
      <c r="AJ45" s="25"/>
      <c r="AK45" s="25"/>
      <c r="AL45" s="25"/>
      <c r="AM45" s="36">
        <f t="shared" si="19"/>
        <v>0</v>
      </c>
      <c r="AN45" s="36">
        <f t="shared" si="20"/>
        <v>0</v>
      </c>
      <c r="AO45" s="36">
        <f t="shared" si="21"/>
        <v>0</v>
      </c>
      <c r="AP45" s="36"/>
      <c r="AQ45" s="36"/>
      <c r="AR45" s="35">
        <f t="shared" si="22"/>
        <v>1421</v>
      </c>
      <c r="AS45" s="35">
        <f t="shared" si="23"/>
        <v>1421</v>
      </c>
      <c r="AT45" s="35">
        <f t="shared" si="24"/>
        <v>536</v>
      </c>
      <c r="AU45" s="35">
        <f t="shared" si="27"/>
        <v>1421</v>
      </c>
      <c r="AV45" s="35">
        <f t="shared" si="25"/>
        <v>567</v>
      </c>
      <c r="AW45" s="260">
        <f t="shared" si="26"/>
        <v>0.39901477832512317</v>
      </c>
    </row>
    <row r="46" spans="1:49" ht="15">
      <c r="A46" s="13">
        <v>41</v>
      </c>
      <c r="B46" s="37">
        <v>889924</v>
      </c>
      <c r="C46" s="37" t="s">
        <v>129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37">
        <v>372</v>
      </c>
      <c r="O46" s="37">
        <v>372</v>
      </c>
      <c r="P46" s="37">
        <v>133</v>
      </c>
      <c r="Q46" s="37">
        <v>372</v>
      </c>
      <c r="R46" s="37">
        <v>271</v>
      </c>
      <c r="S46" s="13"/>
      <c r="T46" s="13"/>
      <c r="U46" s="13"/>
      <c r="V46" s="13"/>
      <c r="W46" s="13"/>
      <c r="X46" s="38">
        <f t="shared" si="14"/>
        <v>372</v>
      </c>
      <c r="Y46" s="38">
        <f t="shared" si="15"/>
        <v>372</v>
      </c>
      <c r="Z46" s="38">
        <f t="shared" si="16"/>
        <v>133</v>
      </c>
      <c r="AA46" s="38">
        <f t="shared" si="17"/>
        <v>372</v>
      </c>
      <c r="AB46" s="38">
        <f t="shared" si="18"/>
        <v>271</v>
      </c>
      <c r="AC46" s="38"/>
      <c r="AD46" s="38"/>
      <c r="AE46" s="38"/>
      <c r="AF46" s="38"/>
      <c r="AG46" s="38"/>
      <c r="AH46" s="13"/>
      <c r="AI46" s="13"/>
      <c r="AJ46" s="13"/>
      <c r="AK46" s="13"/>
      <c r="AL46" s="13"/>
      <c r="AM46" s="36">
        <f t="shared" si="19"/>
        <v>0</v>
      </c>
      <c r="AN46" s="36">
        <f t="shared" si="20"/>
        <v>0</v>
      </c>
      <c r="AO46" s="36">
        <f t="shared" si="21"/>
        <v>0</v>
      </c>
      <c r="AP46" s="36"/>
      <c r="AQ46" s="36"/>
      <c r="AR46" s="35">
        <f t="shared" si="22"/>
        <v>372</v>
      </c>
      <c r="AS46" s="35">
        <f t="shared" si="23"/>
        <v>372</v>
      </c>
      <c r="AT46" s="35">
        <f t="shared" si="24"/>
        <v>133</v>
      </c>
      <c r="AU46" s="35">
        <f t="shared" si="27"/>
        <v>372</v>
      </c>
      <c r="AV46" s="35">
        <f t="shared" si="25"/>
        <v>271</v>
      </c>
      <c r="AW46" s="260">
        <f t="shared" si="26"/>
        <v>0.728494623655914</v>
      </c>
    </row>
    <row r="47" spans="1:49" ht="15">
      <c r="A47" s="13">
        <v>42</v>
      </c>
      <c r="B47" s="37">
        <v>889928</v>
      </c>
      <c r="C47" s="37" t="s">
        <v>130</v>
      </c>
      <c r="D47" s="37">
        <v>1951</v>
      </c>
      <c r="E47" s="37">
        <v>2154</v>
      </c>
      <c r="F47" s="37">
        <v>1014</v>
      </c>
      <c r="G47" s="37">
        <v>2172</v>
      </c>
      <c r="H47" s="37">
        <v>1532</v>
      </c>
      <c r="I47" s="37">
        <v>540</v>
      </c>
      <c r="J47" s="37">
        <v>594</v>
      </c>
      <c r="K47" s="37">
        <v>280</v>
      </c>
      <c r="L47" s="37">
        <v>599</v>
      </c>
      <c r="M47" s="37">
        <v>422</v>
      </c>
      <c r="N47" s="37">
        <v>1758</v>
      </c>
      <c r="O47" s="37">
        <v>1758</v>
      </c>
      <c r="P47" s="37">
        <v>643</v>
      </c>
      <c r="Q47" s="37">
        <v>1758</v>
      </c>
      <c r="R47" s="37">
        <v>942</v>
      </c>
      <c r="S47" s="13"/>
      <c r="T47" s="13"/>
      <c r="U47" s="13"/>
      <c r="V47" s="13"/>
      <c r="W47" s="13"/>
      <c r="X47" s="38">
        <f t="shared" si="14"/>
        <v>4249</v>
      </c>
      <c r="Y47" s="38">
        <f t="shared" si="15"/>
        <v>4506</v>
      </c>
      <c r="Z47" s="38">
        <f t="shared" si="16"/>
        <v>1937</v>
      </c>
      <c r="AA47" s="38">
        <f t="shared" si="17"/>
        <v>4529</v>
      </c>
      <c r="AB47" s="38">
        <f t="shared" si="18"/>
        <v>2896</v>
      </c>
      <c r="AC47" s="38"/>
      <c r="AD47" s="38"/>
      <c r="AE47" s="38"/>
      <c r="AF47" s="38"/>
      <c r="AG47" s="38"/>
      <c r="AH47" s="37">
        <v>0</v>
      </c>
      <c r="AI47" s="37"/>
      <c r="AJ47" s="37"/>
      <c r="AK47" s="37"/>
      <c r="AL47" s="37"/>
      <c r="AM47" s="36">
        <f t="shared" si="19"/>
        <v>0</v>
      </c>
      <c r="AN47" s="36">
        <f t="shared" si="20"/>
        <v>0</v>
      </c>
      <c r="AO47" s="36">
        <f t="shared" si="21"/>
        <v>0</v>
      </c>
      <c r="AP47" s="36"/>
      <c r="AQ47" s="36"/>
      <c r="AR47" s="35">
        <f t="shared" si="22"/>
        <v>4249</v>
      </c>
      <c r="AS47" s="35">
        <f t="shared" si="23"/>
        <v>4506</v>
      </c>
      <c r="AT47" s="35">
        <f t="shared" si="24"/>
        <v>1937</v>
      </c>
      <c r="AU47" s="35">
        <f t="shared" si="27"/>
        <v>4529</v>
      </c>
      <c r="AV47" s="35">
        <f t="shared" si="25"/>
        <v>2896</v>
      </c>
      <c r="AW47" s="260">
        <f t="shared" si="26"/>
        <v>0.6394347538087878</v>
      </c>
    </row>
    <row r="48" spans="1:49" ht="15">
      <c r="A48" s="13">
        <v>43</v>
      </c>
      <c r="B48" s="37">
        <v>890301</v>
      </c>
      <c r="C48" s="37" t="s">
        <v>128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37">
        <v>1100</v>
      </c>
      <c r="T48" s="37">
        <v>1100</v>
      </c>
      <c r="U48" s="37">
        <v>600</v>
      </c>
      <c r="V48" s="37">
        <v>1100</v>
      </c>
      <c r="W48" s="37">
        <v>750</v>
      </c>
      <c r="X48" s="38">
        <f t="shared" si="14"/>
        <v>1100</v>
      </c>
      <c r="Y48" s="38">
        <f t="shared" si="15"/>
        <v>1100</v>
      </c>
      <c r="Z48" s="38">
        <f t="shared" si="16"/>
        <v>600</v>
      </c>
      <c r="AA48" s="38">
        <f t="shared" si="17"/>
        <v>1100</v>
      </c>
      <c r="AB48" s="38">
        <f t="shared" si="18"/>
        <v>750</v>
      </c>
      <c r="AC48" s="38"/>
      <c r="AD48" s="38"/>
      <c r="AE48" s="38"/>
      <c r="AF48" s="38"/>
      <c r="AG48" s="38"/>
      <c r="AH48" s="13"/>
      <c r="AI48" s="13"/>
      <c r="AJ48" s="13"/>
      <c r="AK48" s="13"/>
      <c r="AL48" s="13"/>
      <c r="AM48" s="36">
        <f t="shared" si="19"/>
        <v>0</v>
      </c>
      <c r="AN48" s="36">
        <f t="shared" si="20"/>
        <v>0</v>
      </c>
      <c r="AO48" s="36">
        <f t="shared" si="21"/>
        <v>0</v>
      </c>
      <c r="AP48" s="36"/>
      <c r="AQ48" s="36"/>
      <c r="AR48" s="35">
        <f t="shared" si="22"/>
        <v>1100</v>
      </c>
      <c r="AS48" s="35">
        <f t="shared" si="23"/>
        <v>1100</v>
      </c>
      <c r="AT48" s="35">
        <f t="shared" si="24"/>
        <v>600</v>
      </c>
      <c r="AU48" s="35">
        <f t="shared" si="27"/>
        <v>1100</v>
      </c>
      <c r="AV48" s="35">
        <f t="shared" si="25"/>
        <v>750</v>
      </c>
      <c r="AW48" s="260">
        <f t="shared" si="26"/>
        <v>0.6818181818181818</v>
      </c>
    </row>
    <row r="49" spans="1:49" ht="15">
      <c r="A49" s="13">
        <v>44</v>
      </c>
      <c r="B49" s="37">
        <v>890442</v>
      </c>
      <c r="C49" s="25" t="s">
        <v>143</v>
      </c>
      <c r="D49" s="25">
        <v>4432</v>
      </c>
      <c r="E49" s="25">
        <v>4442</v>
      </c>
      <c r="F49" s="25">
        <v>2923</v>
      </c>
      <c r="G49" s="25">
        <v>8954</v>
      </c>
      <c r="H49" s="25">
        <v>4072</v>
      </c>
      <c r="I49" s="25">
        <v>599</v>
      </c>
      <c r="J49" s="25">
        <v>599</v>
      </c>
      <c r="K49" s="25">
        <v>408</v>
      </c>
      <c r="L49" s="25">
        <v>1208</v>
      </c>
      <c r="M49" s="25">
        <v>598</v>
      </c>
      <c r="N49" s="25">
        <f>'7.K.Részletező2'!AR77</f>
        <v>254</v>
      </c>
      <c r="O49" s="25"/>
      <c r="P49" s="25">
        <v>18</v>
      </c>
      <c r="Q49" s="25">
        <v>254</v>
      </c>
      <c r="R49" s="25">
        <v>236</v>
      </c>
      <c r="S49" s="25"/>
      <c r="T49" s="25"/>
      <c r="U49" s="25"/>
      <c r="V49" s="25"/>
      <c r="W49" s="25"/>
      <c r="X49" s="38">
        <f t="shared" si="14"/>
        <v>5285</v>
      </c>
      <c r="Y49" s="38">
        <f t="shared" si="15"/>
        <v>5041</v>
      </c>
      <c r="Z49" s="38">
        <f t="shared" si="16"/>
        <v>3349</v>
      </c>
      <c r="AA49" s="38">
        <f t="shared" si="17"/>
        <v>10416</v>
      </c>
      <c r="AB49" s="38">
        <f t="shared" si="18"/>
        <v>4906</v>
      </c>
      <c r="AC49" s="38"/>
      <c r="AD49" s="38"/>
      <c r="AE49" s="38"/>
      <c r="AF49" s="38"/>
      <c r="AG49" s="38"/>
      <c r="AH49" s="25">
        <v>192</v>
      </c>
      <c r="AI49" s="25">
        <v>192</v>
      </c>
      <c r="AJ49" s="25">
        <v>191</v>
      </c>
      <c r="AK49" s="25">
        <v>869</v>
      </c>
      <c r="AL49" s="302">
        <v>299</v>
      </c>
      <c r="AM49" s="36">
        <f t="shared" si="19"/>
        <v>192</v>
      </c>
      <c r="AN49" s="36">
        <f t="shared" si="20"/>
        <v>192</v>
      </c>
      <c r="AO49" s="36">
        <f t="shared" si="21"/>
        <v>191</v>
      </c>
      <c r="AP49" s="36">
        <v>869</v>
      </c>
      <c r="AQ49" s="301">
        <v>299</v>
      </c>
      <c r="AR49" s="35">
        <f t="shared" si="22"/>
        <v>5477</v>
      </c>
      <c r="AS49" s="35">
        <f t="shared" si="23"/>
        <v>5233</v>
      </c>
      <c r="AT49" s="35">
        <f t="shared" si="24"/>
        <v>3540</v>
      </c>
      <c r="AU49" s="35">
        <f t="shared" si="27"/>
        <v>11285</v>
      </c>
      <c r="AV49" s="35">
        <f t="shared" si="25"/>
        <v>5205</v>
      </c>
      <c r="AW49" s="260">
        <f t="shared" si="26"/>
        <v>0.46123172352680547</v>
      </c>
    </row>
    <row r="50" spans="1:49" ht="15">
      <c r="A50" s="13">
        <v>45</v>
      </c>
      <c r="B50" s="37">
        <v>890444</v>
      </c>
      <c r="C50" s="25" t="s">
        <v>144</v>
      </c>
      <c r="D50" s="25">
        <v>2771</v>
      </c>
      <c r="E50" s="25">
        <v>2771</v>
      </c>
      <c r="F50" s="25">
        <v>2346</v>
      </c>
      <c r="G50" s="25">
        <v>2771</v>
      </c>
      <c r="H50" s="25">
        <v>3105</v>
      </c>
      <c r="I50" s="25">
        <v>374</v>
      </c>
      <c r="J50" s="25">
        <v>374</v>
      </c>
      <c r="K50" s="25">
        <v>317</v>
      </c>
      <c r="L50" s="25">
        <v>374</v>
      </c>
      <c r="M50" s="25">
        <v>419</v>
      </c>
      <c r="N50" s="25">
        <v>137</v>
      </c>
      <c r="O50" s="25">
        <v>137</v>
      </c>
      <c r="P50" s="25">
        <v>180</v>
      </c>
      <c r="Q50" s="25">
        <v>137</v>
      </c>
      <c r="R50" s="25">
        <v>327</v>
      </c>
      <c r="S50" s="25"/>
      <c r="T50" s="25"/>
      <c r="U50" s="25"/>
      <c r="V50" s="25"/>
      <c r="W50" s="25"/>
      <c r="X50" s="38">
        <f t="shared" si="14"/>
        <v>3282</v>
      </c>
      <c r="Y50" s="38">
        <f t="shared" si="15"/>
        <v>3282</v>
      </c>
      <c r="Z50" s="38">
        <f t="shared" si="16"/>
        <v>2843</v>
      </c>
      <c r="AA50" s="38">
        <f t="shared" si="17"/>
        <v>3282</v>
      </c>
      <c r="AB50" s="38">
        <f t="shared" si="18"/>
        <v>3851</v>
      </c>
      <c r="AC50" s="38"/>
      <c r="AD50" s="38"/>
      <c r="AE50" s="38"/>
      <c r="AF50" s="38"/>
      <c r="AG50" s="38"/>
      <c r="AH50" s="25">
        <v>370</v>
      </c>
      <c r="AI50" s="25">
        <v>370</v>
      </c>
      <c r="AJ50" s="25">
        <v>470</v>
      </c>
      <c r="AK50" s="25">
        <v>370</v>
      </c>
      <c r="AL50" s="302">
        <v>775</v>
      </c>
      <c r="AM50" s="36">
        <f t="shared" si="19"/>
        <v>370</v>
      </c>
      <c r="AN50" s="36">
        <f t="shared" si="20"/>
        <v>370</v>
      </c>
      <c r="AO50" s="36">
        <f t="shared" si="21"/>
        <v>470</v>
      </c>
      <c r="AP50" s="36">
        <v>370</v>
      </c>
      <c r="AQ50" s="301">
        <v>775</v>
      </c>
      <c r="AR50" s="35">
        <f t="shared" si="22"/>
        <v>3652</v>
      </c>
      <c r="AS50" s="35">
        <f t="shared" si="23"/>
        <v>3652</v>
      </c>
      <c r="AT50" s="35">
        <f t="shared" si="24"/>
        <v>3313</v>
      </c>
      <c r="AU50" s="35">
        <f t="shared" si="27"/>
        <v>3652</v>
      </c>
      <c r="AV50" s="35">
        <f t="shared" si="25"/>
        <v>4626</v>
      </c>
      <c r="AW50" s="303">
        <f t="shared" si="26"/>
        <v>1.2667031763417305</v>
      </c>
    </row>
    <row r="51" spans="1:49" ht="15">
      <c r="A51" s="13">
        <v>46</v>
      </c>
      <c r="B51" s="37">
        <v>910123</v>
      </c>
      <c r="C51" s="37" t="s">
        <v>126</v>
      </c>
      <c r="D51" s="25">
        <v>480</v>
      </c>
      <c r="E51" s="25">
        <v>480</v>
      </c>
      <c r="F51" s="25">
        <v>180</v>
      </c>
      <c r="G51" s="25">
        <v>480</v>
      </c>
      <c r="H51" s="25">
        <v>270</v>
      </c>
      <c r="I51" s="25">
        <v>130</v>
      </c>
      <c r="J51" s="25">
        <v>130</v>
      </c>
      <c r="K51" s="25">
        <v>44</v>
      </c>
      <c r="L51" s="25">
        <v>130</v>
      </c>
      <c r="M51" s="25">
        <v>66</v>
      </c>
      <c r="N51" s="37">
        <v>521</v>
      </c>
      <c r="O51" s="37">
        <v>521</v>
      </c>
      <c r="P51" s="37">
        <v>141</v>
      </c>
      <c r="Q51" s="37">
        <v>521</v>
      </c>
      <c r="R51" s="37">
        <v>211</v>
      </c>
      <c r="S51" s="37"/>
      <c r="T51" s="37"/>
      <c r="U51" s="37"/>
      <c r="V51" s="37"/>
      <c r="W51" s="37"/>
      <c r="X51" s="38">
        <f t="shared" si="14"/>
        <v>1131</v>
      </c>
      <c r="Y51" s="38">
        <f t="shared" si="15"/>
        <v>1131</v>
      </c>
      <c r="Z51" s="38">
        <f t="shared" si="16"/>
        <v>365</v>
      </c>
      <c r="AA51" s="38">
        <f t="shared" si="17"/>
        <v>1131</v>
      </c>
      <c r="AB51" s="38">
        <f t="shared" si="18"/>
        <v>547</v>
      </c>
      <c r="AC51" s="38"/>
      <c r="AD51" s="38"/>
      <c r="AE51" s="38"/>
      <c r="AF51" s="38"/>
      <c r="AG51" s="38"/>
      <c r="AH51" s="37">
        <v>0</v>
      </c>
      <c r="AI51" s="37"/>
      <c r="AJ51" s="37"/>
      <c r="AK51" s="37"/>
      <c r="AL51" s="37"/>
      <c r="AM51" s="36">
        <f t="shared" si="19"/>
        <v>0</v>
      </c>
      <c r="AN51" s="36">
        <v>0</v>
      </c>
      <c r="AO51" s="36">
        <v>0</v>
      </c>
      <c r="AP51" s="36"/>
      <c r="AQ51" s="36"/>
      <c r="AR51" s="35">
        <f t="shared" si="22"/>
        <v>1131</v>
      </c>
      <c r="AS51" s="35">
        <f t="shared" si="23"/>
        <v>1131</v>
      </c>
      <c r="AT51" s="35">
        <f t="shared" si="24"/>
        <v>365</v>
      </c>
      <c r="AU51" s="35">
        <f t="shared" si="27"/>
        <v>1131</v>
      </c>
      <c r="AV51" s="35">
        <f t="shared" si="25"/>
        <v>547</v>
      </c>
      <c r="AW51" s="260">
        <f t="shared" si="26"/>
        <v>0.48364279398762156</v>
      </c>
    </row>
    <row r="52" spans="1:49" s="113" customFormat="1" ht="15">
      <c r="A52" s="13">
        <v>47</v>
      </c>
      <c r="B52" s="37">
        <v>910502</v>
      </c>
      <c r="C52" s="37" t="s">
        <v>16</v>
      </c>
      <c r="D52" s="25">
        <v>1587</v>
      </c>
      <c r="E52" s="25">
        <v>1722</v>
      </c>
      <c r="F52" s="25">
        <v>1025</v>
      </c>
      <c r="G52" s="25">
        <v>2099</v>
      </c>
      <c r="H52" s="25">
        <v>1604</v>
      </c>
      <c r="I52" s="25">
        <v>442</v>
      </c>
      <c r="J52" s="25">
        <v>463</v>
      </c>
      <c r="K52" s="25">
        <v>264</v>
      </c>
      <c r="L52" s="25">
        <v>564</v>
      </c>
      <c r="M52" s="25">
        <v>378</v>
      </c>
      <c r="N52" s="37">
        <v>8606</v>
      </c>
      <c r="O52" s="37">
        <v>9843</v>
      </c>
      <c r="P52" s="37">
        <v>2509</v>
      </c>
      <c r="Q52" s="37">
        <v>9361</v>
      </c>
      <c r="R52" s="37">
        <v>6990</v>
      </c>
      <c r="S52" s="134"/>
      <c r="T52" s="134"/>
      <c r="U52" s="134"/>
      <c r="V52" s="134"/>
      <c r="W52" s="134"/>
      <c r="X52" s="38">
        <f t="shared" si="14"/>
        <v>10635</v>
      </c>
      <c r="Y52" s="38">
        <f t="shared" si="15"/>
        <v>12028</v>
      </c>
      <c r="Z52" s="38">
        <f t="shared" si="16"/>
        <v>3798</v>
      </c>
      <c r="AA52" s="38">
        <f t="shared" si="17"/>
        <v>12024</v>
      </c>
      <c r="AB52" s="38">
        <f t="shared" si="18"/>
        <v>8972</v>
      </c>
      <c r="AC52" s="38"/>
      <c r="AD52" s="38"/>
      <c r="AE52" s="38"/>
      <c r="AF52" s="38"/>
      <c r="AG52" s="38"/>
      <c r="AH52" s="37"/>
      <c r="AI52" s="37">
        <v>150</v>
      </c>
      <c r="AJ52" s="37">
        <v>190</v>
      </c>
      <c r="AK52" s="37">
        <v>191</v>
      </c>
      <c r="AL52" s="37">
        <v>190</v>
      </c>
      <c r="AM52" s="36">
        <f t="shared" si="19"/>
        <v>0</v>
      </c>
      <c r="AN52" s="36">
        <f>AI52</f>
        <v>150</v>
      </c>
      <c r="AO52" s="36">
        <f aca="true" t="shared" si="28" ref="AO52:AO58">AE52+AJ52</f>
        <v>190</v>
      </c>
      <c r="AP52" s="36">
        <v>191</v>
      </c>
      <c r="AQ52" s="36">
        <v>190</v>
      </c>
      <c r="AR52" s="35">
        <f t="shared" si="22"/>
        <v>10635</v>
      </c>
      <c r="AS52" s="35">
        <f t="shared" si="23"/>
        <v>12178</v>
      </c>
      <c r="AT52" s="35">
        <f t="shared" si="24"/>
        <v>3988</v>
      </c>
      <c r="AU52" s="35">
        <f t="shared" si="27"/>
        <v>12215</v>
      </c>
      <c r="AV52" s="35">
        <f t="shared" si="25"/>
        <v>9162</v>
      </c>
      <c r="AW52" s="260">
        <f t="shared" si="26"/>
        <v>0.7500613999181335</v>
      </c>
    </row>
    <row r="53" spans="1:49" ht="15">
      <c r="A53" s="13">
        <v>48</v>
      </c>
      <c r="B53" s="37">
        <v>932911</v>
      </c>
      <c r="C53" s="25" t="s">
        <v>145</v>
      </c>
      <c r="D53" s="25">
        <v>0</v>
      </c>
      <c r="E53" s="25"/>
      <c r="F53" s="25"/>
      <c r="G53" s="25"/>
      <c r="H53" s="25"/>
      <c r="I53" s="25"/>
      <c r="J53" s="25"/>
      <c r="K53" s="25"/>
      <c r="L53" s="25"/>
      <c r="M53" s="25"/>
      <c r="N53" s="25">
        <v>665</v>
      </c>
      <c r="O53" s="25">
        <v>715</v>
      </c>
      <c r="P53" s="25">
        <v>442</v>
      </c>
      <c r="Q53" s="25">
        <v>715</v>
      </c>
      <c r="R53" s="25">
        <v>564</v>
      </c>
      <c r="S53" s="25"/>
      <c r="T53" s="25"/>
      <c r="U53" s="25"/>
      <c r="V53" s="25"/>
      <c r="W53" s="25"/>
      <c r="X53" s="38">
        <f t="shared" si="14"/>
        <v>665</v>
      </c>
      <c r="Y53" s="38">
        <f t="shared" si="15"/>
        <v>715</v>
      </c>
      <c r="Z53" s="38">
        <f t="shared" si="16"/>
        <v>442</v>
      </c>
      <c r="AA53" s="38">
        <f t="shared" si="17"/>
        <v>715</v>
      </c>
      <c r="AB53" s="38">
        <f t="shared" si="18"/>
        <v>564</v>
      </c>
      <c r="AC53" s="38"/>
      <c r="AD53" s="38"/>
      <c r="AE53" s="38"/>
      <c r="AF53" s="38"/>
      <c r="AG53" s="38"/>
      <c r="AH53" s="25"/>
      <c r="AI53" s="25">
        <v>367</v>
      </c>
      <c r="AJ53" s="25">
        <f>50+209+56</f>
        <v>315</v>
      </c>
      <c r="AK53" s="25">
        <v>367</v>
      </c>
      <c r="AL53" s="25">
        <v>315</v>
      </c>
      <c r="AM53" s="36">
        <f t="shared" si="19"/>
        <v>0</v>
      </c>
      <c r="AN53" s="36">
        <f aca="true" t="shared" si="29" ref="AN53:AN59">AD53+AI53</f>
        <v>367</v>
      </c>
      <c r="AO53" s="36">
        <f t="shared" si="28"/>
        <v>315</v>
      </c>
      <c r="AP53" s="36">
        <v>367</v>
      </c>
      <c r="AQ53" s="36">
        <v>315</v>
      </c>
      <c r="AR53" s="35">
        <f>X53+AM53</f>
        <v>665</v>
      </c>
      <c r="AS53" s="35">
        <f>Y53+AO53</f>
        <v>1030</v>
      </c>
      <c r="AT53" s="35">
        <f aca="true" t="shared" si="30" ref="AT53:AT60">Z53+AO53</f>
        <v>757</v>
      </c>
      <c r="AU53" s="35">
        <f t="shared" si="27"/>
        <v>1082</v>
      </c>
      <c r="AV53" s="35">
        <f t="shared" si="25"/>
        <v>879</v>
      </c>
      <c r="AW53" s="260">
        <f t="shared" si="26"/>
        <v>0.8123844731977818</v>
      </c>
    </row>
    <row r="54" spans="1:49" ht="15">
      <c r="A54" s="13">
        <v>49</v>
      </c>
      <c r="B54" s="37">
        <v>940000</v>
      </c>
      <c r="C54" s="37" t="s">
        <v>127</v>
      </c>
      <c r="D54" s="37">
        <v>400</v>
      </c>
      <c r="E54" s="37">
        <v>400</v>
      </c>
      <c r="F54" s="37">
        <v>135</v>
      </c>
      <c r="G54" s="37">
        <v>875</v>
      </c>
      <c r="H54" s="37">
        <v>520</v>
      </c>
      <c r="I54" s="37">
        <v>108</v>
      </c>
      <c r="J54" s="37">
        <v>108</v>
      </c>
      <c r="K54" s="37">
        <v>39</v>
      </c>
      <c r="L54" s="37">
        <v>236</v>
      </c>
      <c r="M54" s="37">
        <v>132</v>
      </c>
      <c r="N54" s="37">
        <v>292</v>
      </c>
      <c r="O54" s="37">
        <v>292</v>
      </c>
      <c r="P54" s="37">
        <v>132</v>
      </c>
      <c r="Q54" s="37">
        <v>324</v>
      </c>
      <c r="R54" s="37">
        <v>132</v>
      </c>
      <c r="S54" s="13"/>
      <c r="T54" s="13"/>
      <c r="U54" s="13"/>
      <c r="V54" s="13"/>
      <c r="W54" s="13"/>
      <c r="X54" s="38">
        <f t="shared" si="14"/>
        <v>800</v>
      </c>
      <c r="Y54" s="38">
        <f t="shared" si="15"/>
        <v>800</v>
      </c>
      <c r="Z54" s="38">
        <f t="shared" si="16"/>
        <v>306</v>
      </c>
      <c r="AA54" s="38">
        <f t="shared" si="17"/>
        <v>1435</v>
      </c>
      <c r="AB54" s="38">
        <f t="shared" si="18"/>
        <v>784</v>
      </c>
      <c r="AC54" s="38"/>
      <c r="AD54" s="38"/>
      <c r="AE54" s="38"/>
      <c r="AF54" s="38"/>
      <c r="AG54" s="38"/>
      <c r="AH54" s="13"/>
      <c r="AI54" s="13"/>
      <c r="AJ54" s="13"/>
      <c r="AK54" s="13"/>
      <c r="AL54" s="13"/>
      <c r="AM54" s="36">
        <f t="shared" si="19"/>
        <v>0</v>
      </c>
      <c r="AN54" s="36">
        <f t="shared" si="29"/>
        <v>0</v>
      </c>
      <c r="AO54" s="36">
        <f t="shared" si="28"/>
        <v>0</v>
      </c>
      <c r="AP54" s="36"/>
      <c r="AQ54" s="36"/>
      <c r="AR54" s="35">
        <f>X54+AM54</f>
        <v>800</v>
      </c>
      <c r="AS54" s="35">
        <f aca="true" t="shared" si="31" ref="AS54:AS60">Y54+AN54</f>
        <v>800</v>
      </c>
      <c r="AT54" s="35">
        <f t="shared" si="30"/>
        <v>306</v>
      </c>
      <c r="AU54" s="35">
        <f t="shared" si="27"/>
        <v>1435</v>
      </c>
      <c r="AV54" s="35">
        <f t="shared" si="25"/>
        <v>784</v>
      </c>
      <c r="AW54" s="260">
        <f t="shared" si="26"/>
        <v>0.5463414634146342</v>
      </c>
    </row>
    <row r="55" spans="1:49" ht="15">
      <c r="A55" s="13">
        <v>50</v>
      </c>
      <c r="B55" s="37">
        <v>960302</v>
      </c>
      <c r="C55" s="25" t="s">
        <v>24</v>
      </c>
      <c r="D55" s="25">
        <v>70</v>
      </c>
      <c r="E55" s="25">
        <v>70</v>
      </c>
      <c r="F55" s="25">
        <v>42</v>
      </c>
      <c r="G55" s="25">
        <v>105</v>
      </c>
      <c r="H55" s="25">
        <v>106</v>
      </c>
      <c r="I55" s="25">
        <v>19</v>
      </c>
      <c r="J55" s="25">
        <v>19</v>
      </c>
      <c r="K55" s="25">
        <v>10</v>
      </c>
      <c r="L55" s="25">
        <v>29</v>
      </c>
      <c r="M55" s="25">
        <v>26</v>
      </c>
      <c r="N55" s="25">
        <v>508</v>
      </c>
      <c r="O55" s="25">
        <v>508</v>
      </c>
      <c r="P55" s="25">
        <v>28</v>
      </c>
      <c r="Q55" s="25">
        <v>508</v>
      </c>
      <c r="R55" s="25">
        <v>35</v>
      </c>
      <c r="S55" s="25"/>
      <c r="T55" s="25"/>
      <c r="U55" s="25"/>
      <c r="V55" s="25"/>
      <c r="W55" s="25"/>
      <c r="X55" s="38">
        <f t="shared" si="14"/>
        <v>597</v>
      </c>
      <c r="Y55" s="38">
        <f t="shared" si="15"/>
        <v>597</v>
      </c>
      <c r="Z55" s="38">
        <f t="shared" si="16"/>
        <v>80</v>
      </c>
      <c r="AA55" s="38">
        <f t="shared" si="17"/>
        <v>642</v>
      </c>
      <c r="AB55" s="38">
        <f t="shared" si="18"/>
        <v>167</v>
      </c>
      <c r="AC55" s="38"/>
      <c r="AD55" s="38"/>
      <c r="AE55" s="38"/>
      <c r="AF55" s="38"/>
      <c r="AG55" s="38"/>
      <c r="AH55" s="25">
        <v>771</v>
      </c>
      <c r="AI55" s="25">
        <v>771</v>
      </c>
      <c r="AJ55" s="25">
        <v>136</v>
      </c>
      <c r="AK55" s="25">
        <v>771</v>
      </c>
      <c r="AL55" s="25">
        <v>473</v>
      </c>
      <c r="AM55" s="36">
        <f t="shared" si="19"/>
        <v>771</v>
      </c>
      <c r="AN55" s="36">
        <f t="shared" si="29"/>
        <v>771</v>
      </c>
      <c r="AO55" s="36">
        <f t="shared" si="28"/>
        <v>136</v>
      </c>
      <c r="AP55" s="36">
        <v>771</v>
      </c>
      <c r="AQ55" s="36">
        <v>472</v>
      </c>
      <c r="AR55" s="35">
        <f>X55+AM55</f>
        <v>1368</v>
      </c>
      <c r="AS55" s="35">
        <f t="shared" si="31"/>
        <v>1368</v>
      </c>
      <c r="AT55" s="35">
        <f t="shared" si="30"/>
        <v>216</v>
      </c>
      <c r="AU55" s="35">
        <f t="shared" si="27"/>
        <v>1413</v>
      </c>
      <c r="AV55" s="35">
        <f t="shared" si="25"/>
        <v>639</v>
      </c>
      <c r="AW55" s="260">
        <f t="shared" si="26"/>
        <v>0.45222929936305734</v>
      </c>
    </row>
    <row r="56" spans="1:49" ht="15">
      <c r="A56" s="13">
        <v>51</v>
      </c>
      <c r="B56" s="13"/>
      <c r="C56" s="34" t="s">
        <v>59</v>
      </c>
      <c r="D56" s="25">
        <f aca="true" t="shared" si="32" ref="D56:W56">SUM(D22:D55)</f>
        <v>72754</v>
      </c>
      <c r="E56" s="25">
        <f t="shared" si="32"/>
        <v>75059</v>
      </c>
      <c r="F56" s="25">
        <f t="shared" si="32"/>
        <v>35340</v>
      </c>
      <c r="G56" s="25">
        <f t="shared" si="32"/>
        <v>81794</v>
      </c>
      <c r="H56" s="25">
        <f t="shared" si="32"/>
        <v>53689</v>
      </c>
      <c r="I56" s="25">
        <f t="shared" si="32"/>
        <v>19695</v>
      </c>
      <c r="J56" s="25">
        <f t="shared" si="32"/>
        <v>20244</v>
      </c>
      <c r="K56" s="25">
        <f t="shared" si="32"/>
        <v>9410</v>
      </c>
      <c r="L56" s="25">
        <f t="shared" si="32"/>
        <v>21438</v>
      </c>
      <c r="M56" s="25">
        <f t="shared" si="32"/>
        <v>14048</v>
      </c>
      <c r="N56" s="25">
        <f t="shared" si="32"/>
        <v>158627</v>
      </c>
      <c r="O56" s="25">
        <f t="shared" si="32"/>
        <v>162943</v>
      </c>
      <c r="P56" s="25">
        <f t="shared" si="32"/>
        <v>62099</v>
      </c>
      <c r="Q56" s="25">
        <f t="shared" si="32"/>
        <v>165620</v>
      </c>
      <c r="R56" s="25">
        <f t="shared" si="32"/>
        <v>100445</v>
      </c>
      <c r="S56" s="25">
        <f t="shared" si="32"/>
        <v>4700</v>
      </c>
      <c r="T56" s="25">
        <f t="shared" si="32"/>
        <v>4914</v>
      </c>
      <c r="U56" s="25">
        <f t="shared" si="32"/>
        <v>2914</v>
      </c>
      <c r="V56" s="25">
        <f t="shared" si="32"/>
        <v>4914</v>
      </c>
      <c r="W56" s="25">
        <f t="shared" si="32"/>
        <v>3664</v>
      </c>
      <c r="X56" s="38">
        <f t="shared" si="14"/>
        <v>255776</v>
      </c>
      <c r="Y56" s="38">
        <f t="shared" si="15"/>
        <v>263160</v>
      </c>
      <c r="Z56" s="38">
        <f>U56+P56+K56+F56</f>
        <v>109763</v>
      </c>
      <c r="AA56" s="38">
        <f>V56+Q56+L56+G56</f>
        <v>273766</v>
      </c>
      <c r="AB56" s="38">
        <f t="shared" si="18"/>
        <v>171846</v>
      </c>
      <c r="AC56" s="25">
        <f aca="true" t="shared" si="33" ref="AC56:AJ56">SUM(AC22:AC55)</f>
        <v>2500</v>
      </c>
      <c r="AD56" s="25">
        <f t="shared" si="33"/>
        <v>2500</v>
      </c>
      <c r="AE56" s="25">
        <f t="shared" si="33"/>
        <v>42</v>
      </c>
      <c r="AF56" s="25">
        <f t="shared" si="33"/>
        <v>2500</v>
      </c>
      <c r="AG56" s="25">
        <f t="shared" si="33"/>
        <v>42</v>
      </c>
      <c r="AH56" s="25">
        <f t="shared" si="33"/>
        <v>5694</v>
      </c>
      <c r="AI56" s="25">
        <f t="shared" si="33"/>
        <v>15058</v>
      </c>
      <c r="AJ56" s="25">
        <f t="shared" si="33"/>
        <v>12821</v>
      </c>
      <c r="AK56" s="25">
        <f>SUM(AK22:AK55)</f>
        <v>17054</v>
      </c>
      <c r="AL56" s="25">
        <f>SUM(AL22:AL55)</f>
        <v>13604</v>
      </c>
      <c r="AM56" s="36">
        <f t="shared" si="19"/>
        <v>8194</v>
      </c>
      <c r="AN56" s="36">
        <f t="shared" si="29"/>
        <v>17558</v>
      </c>
      <c r="AO56" s="36">
        <f t="shared" si="28"/>
        <v>12863</v>
      </c>
      <c r="AP56" s="36">
        <f>AF56+AK56</f>
        <v>19554</v>
      </c>
      <c r="AQ56" s="36">
        <f>AG56+AL56</f>
        <v>13646</v>
      </c>
      <c r="AR56" s="35">
        <f>X56+AM56</f>
        <v>263970</v>
      </c>
      <c r="AS56" s="35">
        <f t="shared" si="31"/>
        <v>280718</v>
      </c>
      <c r="AT56" s="35">
        <f t="shared" si="30"/>
        <v>122626</v>
      </c>
      <c r="AU56" s="35">
        <f>AA56+AP56</f>
        <v>293320</v>
      </c>
      <c r="AV56" s="35">
        <f t="shared" si="25"/>
        <v>185492</v>
      </c>
      <c r="AW56" s="260">
        <f t="shared" si="26"/>
        <v>0.6323878358107187</v>
      </c>
    </row>
    <row r="57" spans="1:49" ht="15">
      <c r="A57" s="13">
        <v>52</v>
      </c>
      <c r="B57" s="13"/>
      <c r="C57" s="13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>
        <v>62099</v>
      </c>
      <c r="Q57" s="58"/>
      <c r="R57" s="58"/>
      <c r="S57" s="58"/>
      <c r="T57" s="58"/>
      <c r="U57" s="58"/>
      <c r="V57" s="58"/>
      <c r="W57" s="58"/>
      <c r="X57" s="38"/>
      <c r="Y57" s="38">
        <f>T57+O57+J57+E57</f>
        <v>0</v>
      </c>
      <c r="Z57" s="38"/>
      <c r="AA57" s="38">
        <f t="shared" si="17"/>
        <v>0</v>
      </c>
      <c r="AB57" s="38">
        <f t="shared" si="18"/>
        <v>0</v>
      </c>
      <c r="AC57" s="38"/>
      <c r="AD57" s="38"/>
      <c r="AE57" s="38"/>
      <c r="AF57" s="38"/>
      <c r="AG57" s="38"/>
      <c r="AH57" s="58"/>
      <c r="AI57" s="58"/>
      <c r="AJ57" s="58"/>
      <c r="AK57" s="58"/>
      <c r="AL57" s="58"/>
      <c r="AM57" s="36"/>
      <c r="AN57" s="36">
        <f t="shared" si="29"/>
        <v>0</v>
      </c>
      <c r="AO57" s="36">
        <f t="shared" si="28"/>
        <v>0</v>
      </c>
      <c r="AP57" s="36"/>
      <c r="AQ57" s="36"/>
      <c r="AR57" s="35"/>
      <c r="AS57" s="35">
        <f t="shared" si="31"/>
        <v>0</v>
      </c>
      <c r="AT57" s="35">
        <f t="shared" si="30"/>
        <v>0</v>
      </c>
      <c r="AU57" s="35"/>
      <c r="AV57" s="35">
        <f t="shared" si="25"/>
        <v>0</v>
      </c>
      <c r="AW57" s="260"/>
    </row>
    <row r="58" spans="1:49" ht="15.75">
      <c r="A58" s="13">
        <v>53</v>
      </c>
      <c r="B58" s="13"/>
      <c r="C58" s="34" t="s">
        <v>822</v>
      </c>
      <c r="D58" s="114">
        <f aca="true" t="shared" si="34" ref="D58:AM58">SUM(D56+D18+D16)</f>
        <v>112848</v>
      </c>
      <c r="E58" s="114">
        <f t="shared" si="34"/>
        <v>114985</v>
      </c>
      <c r="F58" s="114">
        <f t="shared" si="34"/>
        <v>52543</v>
      </c>
      <c r="G58" s="114">
        <f t="shared" si="34"/>
        <v>122152</v>
      </c>
      <c r="H58" s="114">
        <f t="shared" si="34"/>
        <v>79387</v>
      </c>
      <c r="I58" s="114">
        <f t="shared" si="34"/>
        <v>30476</v>
      </c>
      <c r="J58" s="114">
        <f t="shared" si="34"/>
        <v>31005</v>
      </c>
      <c r="K58" s="114">
        <f t="shared" si="34"/>
        <v>14044</v>
      </c>
      <c r="L58" s="114">
        <f t="shared" si="34"/>
        <v>32319</v>
      </c>
      <c r="M58" s="114">
        <f t="shared" si="34"/>
        <v>20976</v>
      </c>
      <c r="N58" s="114">
        <f t="shared" si="34"/>
        <v>170018</v>
      </c>
      <c r="O58" s="114">
        <f t="shared" si="34"/>
        <v>179510</v>
      </c>
      <c r="P58" s="114">
        <f t="shared" si="34"/>
        <v>71935</v>
      </c>
      <c r="Q58" s="114">
        <f t="shared" si="34"/>
        <v>182854</v>
      </c>
      <c r="R58" s="114">
        <f t="shared" si="34"/>
        <v>113270</v>
      </c>
      <c r="S58" s="114">
        <f t="shared" si="34"/>
        <v>36757</v>
      </c>
      <c r="T58" s="114">
        <f t="shared" si="34"/>
        <v>42152</v>
      </c>
      <c r="U58" s="114">
        <f t="shared" si="34"/>
        <v>24415</v>
      </c>
      <c r="V58" s="114">
        <f t="shared" si="34"/>
        <v>58087</v>
      </c>
      <c r="W58" s="114">
        <f t="shared" si="34"/>
        <v>42767</v>
      </c>
      <c r="X58" s="114">
        <f t="shared" si="34"/>
        <v>350099</v>
      </c>
      <c r="Y58" s="114">
        <f>SUM(Y56+Y18+Y16)</f>
        <v>367652</v>
      </c>
      <c r="Z58" s="114">
        <f t="shared" si="34"/>
        <v>162937</v>
      </c>
      <c r="AA58" s="114">
        <f t="shared" si="34"/>
        <v>395412</v>
      </c>
      <c r="AB58" s="114">
        <f t="shared" si="34"/>
        <v>256400</v>
      </c>
      <c r="AC58" s="114">
        <f t="shared" si="34"/>
        <v>4500</v>
      </c>
      <c r="AD58" s="114">
        <f t="shared" si="34"/>
        <v>4500</v>
      </c>
      <c r="AE58" s="114">
        <f t="shared" si="34"/>
        <v>542</v>
      </c>
      <c r="AF58" s="114">
        <f t="shared" si="34"/>
        <v>4500</v>
      </c>
      <c r="AG58" s="114">
        <f t="shared" si="34"/>
        <v>1542</v>
      </c>
      <c r="AH58" s="114">
        <f t="shared" si="34"/>
        <v>51231</v>
      </c>
      <c r="AI58" s="114">
        <f t="shared" si="34"/>
        <v>90054</v>
      </c>
      <c r="AJ58" s="114">
        <f t="shared" si="34"/>
        <v>39693</v>
      </c>
      <c r="AK58" s="114">
        <f t="shared" si="34"/>
        <v>89970</v>
      </c>
      <c r="AL58" s="114">
        <f t="shared" si="34"/>
        <v>57576</v>
      </c>
      <c r="AM58" s="114">
        <f t="shared" si="34"/>
        <v>55731</v>
      </c>
      <c r="AN58" s="36">
        <f t="shared" si="29"/>
        <v>94554</v>
      </c>
      <c r="AO58" s="36">
        <f t="shared" si="28"/>
        <v>40235</v>
      </c>
      <c r="AP58" s="36">
        <f>AF58+AK58</f>
        <v>94470</v>
      </c>
      <c r="AQ58" s="36">
        <f>AG58+AL58</f>
        <v>59118</v>
      </c>
      <c r="AR58" s="114">
        <f>SUM(AR56+AR18+AR16)</f>
        <v>405830</v>
      </c>
      <c r="AS58" s="35">
        <f t="shared" si="31"/>
        <v>462206</v>
      </c>
      <c r="AT58" s="35">
        <f t="shared" si="30"/>
        <v>203172</v>
      </c>
      <c r="AU58" s="35">
        <f>AA58+AP58</f>
        <v>489882</v>
      </c>
      <c r="AV58" s="35">
        <f t="shared" si="25"/>
        <v>315518</v>
      </c>
      <c r="AW58" s="260">
        <f>AV58/AU58</f>
        <v>0.644069388138368</v>
      </c>
    </row>
    <row r="59" spans="1:49" ht="15.75">
      <c r="A59" s="13">
        <v>54</v>
      </c>
      <c r="B59" s="13"/>
      <c r="C59" s="3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>
        <f>SUM(X57+X19+X17)</f>
        <v>0</v>
      </c>
      <c r="Y59" s="114">
        <f>SUM(Y57+Y19+Y17)</f>
        <v>0</v>
      </c>
      <c r="Z59" s="114">
        <f>SUM(Z57+Z19+Z17)</f>
        <v>0</v>
      </c>
      <c r="AA59" s="38">
        <f t="shared" si="17"/>
        <v>0</v>
      </c>
      <c r="AB59" s="38">
        <f t="shared" si="18"/>
        <v>0</v>
      </c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>
        <f>SUM(AM57+AM19+AM17)</f>
        <v>0</v>
      </c>
      <c r="AN59" s="36">
        <f t="shared" si="29"/>
        <v>0</v>
      </c>
      <c r="AO59" s="36"/>
      <c r="AP59" s="36"/>
      <c r="AQ59" s="36"/>
      <c r="AR59" s="114">
        <f>SUM(AR57+AR19+AR17)</f>
        <v>0</v>
      </c>
      <c r="AS59" s="35">
        <f t="shared" si="31"/>
        <v>0</v>
      </c>
      <c r="AT59" s="35">
        <f t="shared" si="30"/>
        <v>0</v>
      </c>
      <c r="AU59" s="35"/>
      <c r="AV59" s="35"/>
      <c r="AW59" s="260"/>
    </row>
    <row r="60" spans="1:49" ht="15.75">
      <c r="A60" s="13">
        <v>55</v>
      </c>
      <c r="B60" s="115"/>
      <c r="C60" s="34" t="s">
        <v>267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>
        <v>74561</v>
      </c>
      <c r="O60" s="115">
        <v>38450</v>
      </c>
      <c r="P60" s="115"/>
      <c r="Q60" s="115"/>
      <c r="R60" s="115"/>
      <c r="S60" s="115"/>
      <c r="T60" s="115"/>
      <c r="U60" s="115"/>
      <c r="V60" s="115"/>
      <c r="W60" s="115"/>
      <c r="X60" s="114">
        <f>SUM(N60)</f>
        <v>74561</v>
      </c>
      <c r="Y60" s="114">
        <f>SUM(O60)</f>
        <v>38450</v>
      </c>
      <c r="Z60" s="114">
        <f>SUM(P60)</f>
        <v>0</v>
      </c>
      <c r="AA60" s="38">
        <f t="shared" si="17"/>
        <v>0</v>
      </c>
      <c r="AB60" s="38">
        <f t="shared" si="18"/>
        <v>0</v>
      </c>
      <c r="AC60" s="115"/>
      <c r="AD60" s="115"/>
      <c r="AE60" s="115"/>
      <c r="AF60" s="115"/>
      <c r="AG60" s="115"/>
      <c r="AH60" s="37">
        <v>2088</v>
      </c>
      <c r="AI60" s="37">
        <v>3025</v>
      </c>
      <c r="AJ60" s="115"/>
      <c r="AK60" s="115"/>
      <c r="AL60" s="115"/>
      <c r="AM60" s="114">
        <f>SUM(AH60)</f>
        <v>2088</v>
      </c>
      <c r="AN60" s="114">
        <f>SUM(AI60)</f>
        <v>3025</v>
      </c>
      <c r="AO60" s="115"/>
      <c r="AP60" s="115"/>
      <c r="AQ60" s="115"/>
      <c r="AR60" s="35">
        <f>X60+AM60</f>
        <v>76649</v>
      </c>
      <c r="AS60" s="35">
        <f t="shared" si="31"/>
        <v>41475</v>
      </c>
      <c r="AT60" s="35">
        <f t="shared" si="30"/>
        <v>0</v>
      </c>
      <c r="AU60" s="35">
        <v>52088</v>
      </c>
      <c r="AV60" s="35"/>
      <c r="AW60" s="260"/>
    </row>
    <row r="61" spans="1:49" ht="15">
      <c r="A61" s="13">
        <v>56</v>
      </c>
      <c r="C61" s="261" t="s">
        <v>823</v>
      </c>
      <c r="D61" s="41">
        <f>SUM(D58:D60)</f>
        <v>112848</v>
      </c>
      <c r="E61" s="41">
        <f aca="true" t="shared" si="35" ref="E61:AW61">SUM(E58:E60)</f>
        <v>114985</v>
      </c>
      <c r="F61" s="41">
        <f t="shared" si="35"/>
        <v>52543</v>
      </c>
      <c r="G61" s="41"/>
      <c r="H61" s="41"/>
      <c r="I61" s="41">
        <f t="shared" si="35"/>
        <v>30476</v>
      </c>
      <c r="J61" s="41">
        <f t="shared" si="35"/>
        <v>31005</v>
      </c>
      <c r="K61" s="41">
        <f t="shared" si="35"/>
        <v>14044</v>
      </c>
      <c r="L61" s="41"/>
      <c r="M61" s="41"/>
      <c r="N61" s="41">
        <f t="shared" si="35"/>
        <v>244579</v>
      </c>
      <c r="O61" s="41">
        <f t="shared" si="35"/>
        <v>217960</v>
      </c>
      <c r="P61" s="41">
        <f t="shared" si="35"/>
        <v>71935</v>
      </c>
      <c r="Q61" s="41"/>
      <c r="R61" s="41"/>
      <c r="S61" s="41">
        <f t="shared" si="35"/>
        <v>36757</v>
      </c>
      <c r="T61" s="41">
        <f t="shared" si="35"/>
        <v>42152</v>
      </c>
      <c r="U61" s="41">
        <f t="shared" si="35"/>
        <v>24415</v>
      </c>
      <c r="V61" s="41"/>
      <c r="W61" s="41"/>
      <c r="X61" s="41">
        <f t="shared" si="35"/>
        <v>424660</v>
      </c>
      <c r="Y61" s="41">
        <f t="shared" si="35"/>
        <v>406102</v>
      </c>
      <c r="Z61" s="41">
        <f t="shared" si="35"/>
        <v>162937</v>
      </c>
      <c r="AA61" s="38">
        <f t="shared" si="17"/>
        <v>0</v>
      </c>
      <c r="AB61" s="38">
        <f t="shared" si="18"/>
        <v>0</v>
      </c>
      <c r="AC61" s="41">
        <f t="shared" si="35"/>
        <v>4500</v>
      </c>
      <c r="AD61" s="41">
        <f t="shared" si="35"/>
        <v>4500</v>
      </c>
      <c r="AE61" s="41">
        <f t="shared" si="35"/>
        <v>542</v>
      </c>
      <c r="AF61" s="41">
        <f t="shared" si="35"/>
        <v>4500</v>
      </c>
      <c r="AG61" s="41">
        <f t="shared" si="35"/>
        <v>1542</v>
      </c>
      <c r="AH61" s="41">
        <f t="shared" si="35"/>
        <v>53319</v>
      </c>
      <c r="AI61" s="41">
        <f t="shared" si="35"/>
        <v>93079</v>
      </c>
      <c r="AJ61" s="41">
        <f t="shared" si="35"/>
        <v>39693</v>
      </c>
      <c r="AK61" s="41"/>
      <c r="AL61" s="41"/>
      <c r="AM61" s="41">
        <f t="shared" si="35"/>
        <v>57819</v>
      </c>
      <c r="AN61" s="41">
        <f t="shared" si="35"/>
        <v>97579</v>
      </c>
      <c r="AO61" s="41">
        <f t="shared" si="35"/>
        <v>40235</v>
      </c>
      <c r="AP61" s="41"/>
      <c r="AQ61" s="41"/>
      <c r="AR61" s="41">
        <f t="shared" si="35"/>
        <v>482479</v>
      </c>
      <c r="AS61" s="41">
        <f t="shared" si="35"/>
        <v>503681</v>
      </c>
      <c r="AT61" s="41">
        <f t="shared" si="35"/>
        <v>203172</v>
      </c>
      <c r="AU61" s="41"/>
      <c r="AV61" s="41"/>
      <c r="AW61" s="41">
        <f t="shared" si="35"/>
        <v>0.644069388138368</v>
      </c>
    </row>
    <row r="62" spans="24:28" ht="15">
      <c r="X62" s="41"/>
      <c r="Y62" s="41"/>
      <c r="Z62" s="41"/>
      <c r="AA62" s="41"/>
      <c r="AB62" s="41"/>
    </row>
  </sheetData>
  <sheetProtection/>
  <mergeCells count="10">
    <mergeCell ref="AC6:AE6"/>
    <mergeCell ref="AH6:AJ6"/>
    <mergeCell ref="AM6:AO6"/>
    <mergeCell ref="AR6:AT6"/>
    <mergeCell ref="A1:C1"/>
    <mergeCell ref="D6:F6"/>
    <mergeCell ref="I6:K6"/>
    <mergeCell ref="N6:P6"/>
    <mergeCell ref="S6:U6"/>
    <mergeCell ref="X6:Z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40" r:id="rId1"/>
  <colBreaks count="1" manualBreakCount="1">
    <brk id="33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AB51"/>
  <sheetViews>
    <sheetView view="pageBreakPreview" zoomScale="70" zoomScaleSheetLayoutView="70" zoomScalePageLayoutView="0" workbookViewId="0" topLeftCell="A1">
      <selection activeCell="A1" sqref="A1:G1"/>
    </sheetView>
  </sheetViews>
  <sheetFormatPr defaultColWidth="9.140625" defaultRowHeight="15"/>
  <cols>
    <col min="1" max="1" width="9.140625" style="117" customWidth="1"/>
    <col min="2" max="2" width="10.7109375" style="118" customWidth="1"/>
    <col min="3" max="3" width="36.8515625" style="116" customWidth="1"/>
    <col min="4" max="4" width="9.28125" style="116" customWidth="1"/>
    <col min="5" max="5" width="9.421875" style="116" customWidth="1"/>
    <col min="6" max="7" width="9.00390625" style="116" customWidth="1"/>
    <col min="8" max="8" width="8.57421875" style="116" customWidth="1"/>
    <col min="9" max="9" width="10.28125" style="42" customWidth="1"/>
    <col min="10" max="10" width="7.140625" style="116" customWidth="1"/>
    <col min="11" max="11" width="6.421875" style="116" customWidth="1"/>
    <col min="12" max="12" width="9.00390625" style="116" customWidth="1"/>
    <col min="13" max="13" width="8.8515625" style="116" customWidth="1"/>
    <col min="14" max="14" width="8.28125" style="116" customWidth="1"/>
    <col min="15" max="21" width="9.00390625" style="116" customWidth="1"/>
    <col min="22" max="22" width="7.8515625" style="116" customWidth="1"/>
    <col min="23" max="23" width="8.421875" style="116" customWidth="1"/>
    <col min="24" max="24" width="9.421875" style="116" customWidth="1"/>
    <col min="25" max="25" width="7.8515625" style="116" customWidth="1"/>
    <col min="26" max="26" width="8.28125" style="116" customWidth="1"/>
    <col min="27" max="27" width="13.421875" style="42" customWidth="1"/>
    <col min="28" max="16384" width="9.140625" style="116" customWidth="1"/>
  </cols>
  <sheetData>
    <row r="1" spans="1:7" ht="18.75">
      <c r="A1" s="373" t="s">
        <v>856</v>
      </c>
      <c r="B1" s="373"/>
      <c r="C1" s="373"/>
      <c r="D1" s="373"/>
      <c r="E1" s="373"/>
      <c r="F1" s="373"/>
      <c r="G1" s="373"/>
    </row>
    <row r="3" spans="2:3" ht="18.75">
      <c r="B3" s="374" t="s">
        <v>534</v>
      </c>
      <c r="C3" s="375"/>
    </row>
    <row r="4" spans="1:27" s="117" customFormat="1" ht="15">
      <c r="A4" s="120"/>
      <c r="B4" s="120" t="s">
        <v>27</v>
      </c>
      <c r="C4" s="120" t="s">
        <v>28</v>
      </c>
      <c r="D4" s="120" t="s">
        <v>29</v>
      </c>
      <c r="E4" s="120" t="s">
        <v>30</v>
      </c>
      <c r="F4" s="120" t="s">
        <v>31</v>
      </c>
      <c r="G4" s="120" t="s">
        <v>105</v>
      </c>
      <c r="H4" s="120" t="s">
        <v>60</v>
      </c>
      <c r="I4" s="120" t="s">
        <v>61</v>
      </c>
      <c r="J4" s="120" t="s">
        <v>62</v>
      </c>
      <c r="K4" s="120" t="s">
        <v>63</v>
      </c>
      <c r="L4" s="120" t="s">
        <v>64</v>
      </c>
      <c r="M4" s="120" t="s">
        <v>65</v>
      </c>
      <c r="N4" s="120" t="s">
        <v>66</v>
      </c>
      <c r="O4" s="120" t="s">
        <v>67</v>
      </c>
      <c r="P4" s="120" t="s">
        <v>146</v>
      </c>
      <c r="Q4" s="120" t="s">
        <v>68</v>
      </c>
      <c r="R4" s="120" t="s">
        <v>147</v>
      </c>
      <c r="S4" s="120" t="s">
        <v>69</v>
      </c>
      <c r="T4" s="120" t="s">
        <v>70</v>
      </c>
      <c r="U4" s="120" t="s">
        <v>71</v>
      </c>
      <c r="V4" s="120" t="s">
        <v>72</v>
      </c>
      <c r="W4" s="120" t="s">
        <v>73</v>
      </c>
      <c r="X4" s="120" t="s">
        <v>74</v>
      </c>
      <c r="Y4" s="120" t="s">
        <v>75</v>
      </c>
      <c r="Z4" s="120" t="s">
        <v>76</v>
      </c>
      <c r="AA4" s="120" t="s">
        <v>77</v>
      </c>
    </row>
    <row r="5" spans="1:27" ht="18.75">
      <c r="A5" s="120">
        <v>1</v>
      </c>
      <c r="B5" s="119"/>
      <c r="C5" s="120"/>
      <c r="D5" s="120"/>
      <c r="E5" s="372" t="s">
        <v>148</v>
      </c>
      <c r="F5" s="372"/>
      <c r="G5" s="372"/>
      <c r="H5" s="372"/>
      <c r="I5" s="372"/>
      <c r="J5" s="372" t="s">
        <v>149</v>
      </c>
      <c r="K5" s="372"/>
      <c r="L5" s="372"/>
      <c r="M5" s="372"/>
      <c r="N5" s="372"/>
      <c r="O5" s="372"/>
      <c r="P5" s="372" t="s">
        <v>150</v>
      </c>
      <c r="Q5" s="372"/>
      <c r="R5" s="372"/>
      <c r="S5" s="372"/>
      <c r="T5" s="372"/>
      <c r="U5" s="372"/>
      <c r="V5" s="372" t="s">
        <v>151</v>
      </c>
      <c r="W5" s="372"/>
      <c r="X5" s="372"/>
      <c r="Y5" s="372"/>
      <c r="Z5" s="372"/>
      <c r="AA5" s="372"/>
    </row>
    <row r="6" spans="1:27" ht="52.5">
      <c r="A6" s="120">
        <v>2</v>
      </c>
      <c r="B6" s="99" t="s">
        <v>152</v>
      </c>
      <c r="C6" s="99"/>
      <c r="D6" s="43" t="s">
        <v>153</v>
      </c>
      <c r="E6" s="43" t="s">
        <v>154</v>
      </c>
      <c r="F6" s="43" t="s">
        <v>155</v>
      </c>
      <c r="G6" s="43" t="s">
        <v>156</v>
      </c>
      <c r="H6" s="43" t="s">
        <v>157</v>
      </c>
      <c r="I6" s="44" t="s">
        <v>158</v>
      </c>
      <c r="J6" s="43" t="s">
        <v>153</v>
      </c>
      <c r="K6" s="43" t="s">
        <v>154</v>
      </c>
      <c r="L6" s="43" t="s">
        <v>155</v>
      </c>
      <c r="M6" s="43" t="s">
        <v>156</v>
      </c>
      <c r="N6" s="43" t="s">
        <v>157</v>
      </c>
      <c r="O6" s="43" t="s">
        <v>159</v>
      </c>
      <c r="P6" s="43" t="s">
        <v>153</v>
      </c>
      <c r="Q6" s="43" t="s">
        <v>154</v>
      </c>
      <c r="R6" s="43" t="s">
        <v>155</v>
      </c>
      <c r="S6" s="43" t="s">
        <v>156</v>
      </c>
      <c r="T6" s="43" t="s">
        <v>157</v>
      </c>
      <c r="U6" s="43" t="s">
        <v>160</v>
      </c>
      <c r="V6" s="43" t="s">
        <v>161</v>
      </c>
      <c r="W6" s="43" t="s">
        <v>162</v>
      </c>
      <c r="X6" s="43" t="s">
        <v>163</v>
      </c>
      <c r="Y6" s="43" t="s">
        <v>156</v>
      </c>
      <c r="Z6" s="43" t="s">
        <v>164</v>
      </c>
      <c r="AA6" s="45" t="s">
        <v>114</v>
      </c>
    </row>
    <row r="7" spans="1:27" ht="15">
      <c r="A7" s="120">
        <v>3</v>
      </c>
      <c r="B7" s="46">
        <v>841112</v>
      </c>
      <c r="C7" s="47" t="s">
        <v>165</v>
      </c>
      <c r="D7" s="47">
        <f>'7.K.Részletező2'!O22</f>
        <v>6990</v>
      </c>
      <c r="E7" s="48">
        <f>'7.K.Részletező2'!O28</f>
        <v>1859</v>
      </c>
      <c r="F7" s="48">
        <f>'7.K.Részletező2'!O77</f>
        <v>13519</v>
      </c>
      <c r="G7" s="48">
        <f>'7.K.Részletező2'!O91+'7.K.Részletező2'!O95+'7.K.Részletező2'!O101</f>
        <v>29109</v>
      </c>
      <c r="H7" s="48">
        <f>'7.K.Részletező2'!O111+'7.K.Részletező2'!O116</f>
        <v>68904</v>
      </c>
      <c r="I7" s="49">
        <f>SUM(D7:H7)</f>
        <v>120381</v>
      </c>
      <c r="J7" s="48"/>
      <c r="K7" s="48"/>
      <c r="L7" s="48"/>
      <c r="M7" s="48"/>
      <c r="N7" s="48">
        <f>'7.K.Részletező2'!O117</f>
        <v>2000</v>
      </c>
      <c r="O7" s="48">
        <f>SUM(J7:N7)</f>
        <v>2000</v>
      </c>
      <c r="P7" s="48"/>
      <c r="Q7" s="48"/>
      <c r="R7" s="48"/>
      <c r="S7" s="48"/>
      <c r="T7" s="48"/>
      <c r="U7" s="48">
        <f>SUM(P7:T7)</f>
        <v>0</v>
      </c>
      <c r="V7" s="48">
        <f aca="true" t="shared" si="0" ref="V7:AA22">P7+J7+D7</f>
        <v>6990</v>
      </c>
      <c r="W7" s="48">
        <f t="shared" si="0"/>
        <v>1859</v>
      </c>
      <c r="X7" s="48">
        <f t="shared" si="0"/>
        <v>13519</v>
      </c>
      <c r="Y7" s="48">
        <f t="shared" si="0"/>
        <v>29109</v>
      </c>
      <c r="Z7" s="48">
        <f>T7+N7+H7</f>
        <v>70904</v>
      </c>
      <c r="AA7" s="49">
        <f>U7+O7+I7</f>
        <v>122381</v>
      </c>
    </row>
    <row r="8" spans="1:27" ht="15">
      <c r="A8" s="120">
        <v>4</v>
      </c>
      <c r="B8" s="46">
        <v>841907</v>
      </c>
      <c r="C8" s="47" t="s">
        <v>166</v>
      </c>
      <c r="D8" s="47"/>
      <c r="E8" s="48"/>
      <c r="F8" s="48"/>
      <c r="G8" s="48"/>
      <c r="H8" s="48"/>
      <c r="I8" s="49">
        <f>SUM(E8:H8)</f>
        <v>0</v>
      </c>
      <c r="J8" s="48"/>
      <c r="K8" s="48"/>
      <c r="L8" s="48"/>
      <c r="M8" s="48"/>
      <c r="N8" s="48"/>
      <c r="O8" s="48">
        <f>SUM(J8:N8)</f>
        <v>0</v>
      </c>
      <c r="P8" s="48"/>
      <c r="Q8" s="48"/>
      <c r="R8" s="48"/>
      <c r="S8" s="48">
        <f>'7.K.Részletező2'!O96</f>
        <v>24064</v>
      </c>
      <c r="T8" s="48"/>
      <c r="U8" s="48">
        <f aca="true" t="shared" si="1" ref="U8:U49">SUM(P8:T8)</f>
        <v>24064</v>
      </c>
      <c r="V8" s="48">
        <f t="shared" si="0"/>
        <v>0</v>
      </c>
      <c r="W8" s="48">
        <f t="shared" si="0"/>
        <v>0</v>
      </c>
      <c r="X8" s="48">
        <f t="shared" si="0"/>
        <v>0</v>
      </c>
      <c r="Y8" s="48">
        <f t="shared" si="0"/>
        <v>24064</v>
      </c>
      <c r="Z8" s="48">
        <f t="shared" si="0"/>
        <v>0</v>
      </c>
      <c r="AA8" s="49">
        <f t="shared" si="0"/>
        <v>24064</v>
      </c>
    </row>
    <row r="9" spans="1:27" ht="15">
      <c r="A9" s="120">
        <v>5</v>
      </c>
      <c r="B9" s="46"/>
      <c r="C9" s="47" t="s">
        <v>26</v>
      </c>
      <c r="D9" s="47">
        <f>SUM(D7:D8)</f>
        <v>6990</v>
      </c>
      <c r="E9" s="47">
        <f aca="true" t="shared" si="2" ref="E9:AA9">SUM(E7:E8)</f>
        <v>1859</v>
      </c>
      <c r="F9" s="47">
        <f t="shared" si="2"/>
        <v>13519</v>
      </c>
      <c r="G9" s="47">
        <f t="shared" si="2"/>
        <v>29109</v>
      </c>
      <c r="H9" s="47">
        <f t="shared" si="2"/>
        <v>68904</v>
      </c>
      <c r="I9" s="47">
        <f t="shared" si="2"/>
        <v>120381</v>
      </c>
      <c r="J9" s="47">
        <f t="shared" si="2"/>
        <v>0</v>
      </c>
      <c r="K9" s="47">
        <f t="shared" si="2"/>
        <v>0</v>
      </c>
      <c r="L9" s="47">
        <f t="shared" si="2"/>
        <v>0</v>
      </c>
      <c r="M9" s="47">
        <f t="shared" si="2"/>
        <v>0</v>
      </c>
      <c r="N9" s="47">
        <f t="shared" si="2"/>
        <v>2000</v>
      </c>
      <c r="O9" s="47">
        <f t="shared" si="2"/>
        <v>2000</v>
      </c>
      <c r="P9" s="47">
        <f t="shared" si="2"/>
        <v>0</v>
      </c>
      <c r="Q9" s="47">
        <f t="shared" si="2"/>
        <v>0</v>
      </c>
      <c r="R9" s="47">
        <f t="shared" si="2"/>
        <v>0</v>
      </c>
      <c r="S9" s="47">
        <f t="shared" si="2"/>
        <v>24064</v>
      </c>
      <c r="T9" s="47">
        <f t="shared" si="2"/>
        <v>0</v>
      </c>
      <c r="U9" s="47">
        <f t="shared" si="2"/>
        <v>24064</v>
      </c>
      <c r="V9" s="47">
        <f t="shared" si="2"/>
        <v>6990</v>
      </c>
      <c r="W9" s="47">
        <f t="shared" si="2"/>
        <v>1859</v>
      </c>
      <c r="X9" s="47">
        <f t="shared" si="2"/>
        <v>13519</v>
      </c>
      <c r="Y9" s="47">
        <f t="shared" si="2"/>
        <v>53173</v>
      </c>
      <c r="Z9" s="47">
        <f t="shared" si="2"/>
        <v>70904</v>
      </c>
      <c r="AA9" s="47">
        <f t="shared" si="2"/>
        <v>146445</v>
      </c>
    </row>
    <row r="10" spans="1:27" ht="15">
      <c r="A10" s="120">
        <v>6</v>
      </c>
      <c r="B10" s="46"/>
      <c r="C10" s="47"/>
      <c r="D10" s="47"/>
      <c r="E10" s="48"/>
      <c r="F10" s="48"/>
      <c r="G10" s="48"/>
      <c r="H10" s="48"/>
      <c r="I10" s="49">
        <f>SUM(E10:H10)</f>
        <v>0</v>
      </c>
      <c r="J10" s="48"/>
      <c r="K10" s="48"/>
      <c r="L10" s="48"/>
      <c r="M10" s="48"/>
      <c r="N10" s="48"/>
      <c r="O10" s="48">
        <f aca="true" t="shared" si="3" ref="O10:O49">SUM(J10:N10)</f>
        <v>0</v>
      </c>
      <c r="P10" s="48"/>
      <c r="Q10" s="48"/>
      <c r="R10" s="48"/>
      <c r="S10" s="48"/>
      <c r="T10" s="48"/>
      <c r="U10" s="48">
        <f t="shared" si="1"/>
        <v>0</v>
      </c>
      <c r="V10" s="48">
        <f t="shared" si="0"/>
        <v>0</v>
      </c>
      <c r="W10" s="48">
        <f t="shared" si="0"/>
        <v>0</v>
      </c>
      <c r="X10" s="48">
        <f t="shared" si="0"/>
        <v>0</v>
      </c>
      <c r="Y10" s="48">
        <f t="shared" si="0"/>
        <v>0</v>
      </c>
      <c r="Z10" s="48">
        <f t="shared" si="0"/>
        <v>0</v>
      </c>
      <c r="AA10" s="49">
        <f t="shared" si="0"/>
        <v>0</v>
      </c>
    </row>
    <row r="11" spans="1:27" ht="15">
      <c r="A11" s="120">
        <v>7</v>
      </c>
      <c r="B11" s="46" t="s">
        <v>116</v>
      </c>
      <c r="C11" s="47"/>
      <c r="D11" s="47"/>
      <c r="E11" s="48"/>
      <c r="F11" s="48"/>
      <c r="G11" s="48"/>
      <c r="H11" s="48"/>
      <c r="I11" s="49">
        <f>SUM(E11:H11)</f>
        <v>0</v>
      </c>
      <c r="J11" s="48"/>
      <c r="K11" s="48"/>
      <c r="L11" s="48"/>
      <c r="M11" s="48"/>
      <c r="N11" s="48"/>
      <c r="O11" s="48">
        <f t="shared" si="3"/>
        <v>0</v>
      </c>
      <c r="P11" s="48"/>
      <c r="Q11" s="48"/>
      <c r="R11" s="48"/>
      <c r="S11" s="48"/>
      <c r="T11" s="48"/>
      <c r="U11" s="48">
        <f t="shared" si="1"/>
        <v>0</v>
      </c>
      <c r="V11" s="48">
        <f t="shared" si="0"/>
        <v>0</v>
      </c>
      <c r="W11" s="48">
        <f t="shared" si="0"/>
        <v>0</v>
      </c>
      <c r="X11" s="48">
        <f t="shared" si="0"/>
        <v>0</v>
      </c>
      <c r="Y11" s="48">
        <f t="shared" si="0"/>
        <v>0</v>
      </c>
      <c r="Z11" s="48">
        <f t="shared" si="0"/>
        <v>0</v>
      </c>
      <c r="AA11" s="49">
        <f t="shared" si="0"/>
        <v>0</v>
      </c>
    </row>
    <row r="12" spans="1:27" ht="15">
      <c r="A12" s="120">
        <v>8</v>
      </c>
      <c r="B12" s="46">
        <v>851</v>
      </c>
      <c r="C12" s="47" t="s">
        <v>167</v>
      </c>
      <c r="D12" s="48">
        <f>'7.K.Részletező2'!P22</f>
        <v>33368</v>
      </c>
      <c r="E12" s="99">
        <f>'7.K.Részletező2'!P28</f>
        <v>9022</v>
      </c>
      <c r="F12" s="48">
        <f>'7.K.Részletező2'!P77</f>
        <v>3715</v>
      </c>
      <c r="G12" s="48"/>
      <c r="H12" s="48">
        <f>'7.K.Részletező2'!P120</f>
        <v>4012</v>
      </c>
      <c r="I12" s="49">
        <f>SUM(D12:H12)</f>
        <v>50117</v>
      </c>
      <c r="J12" s="49">
        <f>SUM(J9:J10)</f>
        <v>0</v>
      </c>
      <c r="K12" s="49">
        <v>0</v>
      </c>
      <c r="L12" s="49">
        <v>0</v>
      </c>
      <c r="M12" s="49">
        <v>0</v>
      </c>
      <c r="N12" s="49">
        <v>0</v>
      </c>
      <c r="O12" s="49">
        <f t="shared" si="3"/>
        <v>0</v>
      </c>
      <c r="P12" s="49">
        <f>SUM(K12:O12)</f>
        <v>0</v>
      </c>
      <c r="Q12" s="49">
        <f>SUM(L12:P12)</f>
        <v>0</v>
      </c>
      <c r="R12" s="49">
        <f>SUM(M12:Q12)</f>
        <v>0</v>
      </c>
      <c r="S12" s="49">
        <f>SUM(N12:R12)</f>
        <v>0</v>
      </c>
      <c r="T12" s="49">
        <f>SUM(O12:S12)</f>
        <v>0</v>
      </c>
      <c r="U12" s="49">
        <f t="shared" si="1"/>
        <v>0</v>
      </c>
      <c r="V12" s="49">
        <f>D12</f>
        <v>33368</v>
      </c>
      <c r="W12" s="49">
        <f>E12</f>
        <v>9022</v>
      </c>
      <c r="X12" s="49">
        <f>F12</f>
        <v>3715</v>
      </c>
      <c r="Y12" s="49">
        <f>G12</f>
        <v>0</v>
      </c>
      <c r="Z12" s="49">
        <f>H12</f>
        <v>4012</v>
      </c>
      <c r="AA12" s="49">
        <f>SUM(V12:Z12)</f>
        <v>50117</v>
      </c>
    </row>
    <row r="13" spans="1:27" ht="15">
      <c r="A13" s="120">
        <v>9</v>
      </c>
      <c r="B13" s="46"/>
      <c r="C13" s="47"/>
      <c r="D13" s="47"/>
      <c r="E13" s="48"/>
      <c r="F13" s="48"/>
      <c r="G13" s="48"/>
      <c r="H13" s="48"/>
      <c r="I13" s="49">
        <f>SUM(E13:H13)</f>
        <v>0</v>
      </c>
      <c r="J13" s="48"/>
      <c r="K13" s="48"/>
      <c r="L13" s="48"/>
      <c r="M13" s="48"/>
      <c r="N13" s="48"/>
      <c r="O13" s="48">
        <f t="shared" si="3"/>
        <v>0</v>
      </c>
      <c r="P13" s="48"/>
      <c r="Q13" s="48"/>
      <c r="R13" s="48"/>
      <c r="S13" s="48"/>
      <c r="T13" s="48"/>
      <c r="U13" s="48">
        <f t="shared" si="1"/>
        <v>0</v>
      </c>
      <c r="V13" s="48">
        <f t="shared" si="0"/>
        <v>0</v>
      </c>
      <c r="W13" s="48">
        <f t="shared" si="0"/>
        <v>0</v>
      </c>
      <c r="X13" s="48">
        <f t="shared" si="0"/>
        <v>0</v>
      </c>
      <c r="Y13" s="48">
        <f t="shared" si="0"/>
        <v>0</v>
      </c>
      <c r="Z13" s="48">
        <f t="shared" si="0"/>
        <v>0</v>
      </c>
      <c r="AA13" s="49">
        <f t="shared" si="0"/>
        <v>0</v>
      </c>
    </row>
    <row r="14" spans="1:27" ht="15">
      <c r="A14" s="120">
        <v>10</v>
      </c>
      <c r="B14" s="50"/>
      <c r="C14" s="51"/>
      <c r="D14" s="51"/>
      <c r="E14" s="48"/>
      <c r="F14" s="48"/>
      <c r="G14" s="48"/>
      <c r="H14" s="48"/>
      <c r="I14" s="49">
        <f>SUM(E14:H14)</f>
        <v>0</v>
      </c>
      <c r="J14" s="48"/>
      <c r="K14" s="48"/>
      <c r="L14" s="48"/>
      <c r="M14" s="48"/>
      <c r="N14" s="48"/>
      <c r="O14" s="48">
        <f t="shared" si="3"/>
        <v>0</v>
      </c>
      <c r="P14" s="48"/>
      <c r="Q14" s="48"/>
      <c r="R14" s="48"/>
      <c r="S14" s="48"/>
      <c r="T14" s="48"/>
      <c r="U14" s="48">
        <f t="shared" si="1"/>
        <v>0</v>
      </c>
      <c r="V14" s="48">
        <f t="shared" si="0"/>
        <v>0</v>
      </c>
      <c r="W14" s="48">
        <f t="shared" si="0"/>
        <v>0</v>
      </c>
      <c r="X14" s="48">
        <f t="shared" si="0"/>
        <v>0</v>
      </c>
      <c r="Y14" s="48">
        <f t="shared" si="0"/>
        <v>0</v>
      </c>
      <c r="Z14" s="48">
        <f t="shared" si="0"/>
        <v>0</v>
      </c>
      <c r="AA14" s="49">
        <f t="shared" si="0"/>
        <v>0</v>
      </c>
    </row>
    <row r="15" spans="1:27" ht="15">
      <c r="A15" s="120">
        <v>11</v>
      </c>
      <c r="B15" s="50" t="s">
        <v>168</v>
      </c>
      <c r="C15" s="51"/>
      <c r="D15" s="51"/>
      <c r="E15" s="48"/>
      <c r="F15" s="48"/>
      <c r="G15" s="48"/>
      <c r="H15" s="48"/>
      <c r="I15" s="49">
        <f>SUM(E15:H15)</f>
        <v>0</v>
      </c>
      <c r="J15" s="48"/>
      <c r="K15" s="48"/>
      <c r="L15" s="48"/>
      <c r="M15" s="48"/>
      <c r="N15" s="48"/>
      <c r="O15" s="48">
        <f t="shared" si="3"/>
        <v>0</v>
      </c>
      <c r="P15" s="48"/>
      <c r="Q15" s="48"/>
      <c r="R15" s="48"/>
      <c r="S15" s="48"/>
      <c r="T15" s="48"/>
      <c r="U15" s="48">
        <f t="shared" si="1"/>
        <v>0</v>
      </c>
      <c r="V15" s="48">
        <f t="shared" si="0"/>
        <v>0</v>
      </c>
      <c r="W15" s="48">
        <f t="shared" si="0"/>
        <v>0</v>
      </c>
      <c r="X15" s="48">
        <f t="shared" si="0"/>
        <v>0</v>
      </c>
      <c r="Y15" s="48">
        <f t="shared" si="0"/>
        <v>0</v>
      </c>
      <c r="Z15" s="48">
        <f t="shared" si="0"/>
        <v>0</v>
      </c>
      <c r="AA15" s="49">
        <f t="shared" si="0"/>
        <v>0</v>
      </c>
    </row>
    <row r="16" spans="1:27" ht="26.25">
      <c r="A16" s="120">
        <v>12</v>
      </c>
      <c r="B16" s="46">
        <v>370000</v>
      </c>
      <c r="C16" s="47" t="s">
        <v>169</v>
      </c>
      <c r="D16" s="47"/>
      <c r="E16" s="48"/>
      <c r="F16" s="48">
        <f>'7.K.Részletező2'!Q77</f>
        <v>6034</v>
      </c>
      <c r="G16" s="48"/>
      <c r="H16" s="47"/>
      <c r="I16" s="49">
        <f>SUM(D16:H16)</f>
        <v>6034</v>
      </c>
      <c r="J16" s="48"/>
      <c r="K16" s="48"/>
      <c r="L16" s="48"/>
      <c r="M16" s="48"/>
      <c r="N16" s="48"/>
      <c r="O16" s="48">
        <f t="shared" si="3"/>
        <v>0</v>
      </c>
      <c r="P16" s="48"/>
      <c r="Q16" s="48"/>
      <c r="R16" s="48"/>
      <c r="S16" s="48"/>
      <c r="T16" s="48"/>
      <c r="U16" s="48">
        <f t="shared" si="1"/>
        <v>0</v>
      </c>
      <c r="V16" s="48">
        <f t="shared" si="0"/>
        <v>0</v>
      </c>
      <c r="W16" s="48">
        <f t="shared" si="0"/>
        <v>0</v>
      </c>
      <c r="X16" s="48">
        <f t="shared" si="0"/>
        <v>6034</v>
      </c>
      <c r="Y16" s="48">
        <f t="shared" si="0"/>
        <v>0</v>
      </c>
      <c r="Z16" s="48">
        <f t="shared" si="0"/>
        <v>0</v>
      </c>
      <c r="AA16" s="49">
        <f t="shared" si="0"/>
        <v>6034</v>
      </c>
    </row>
    <row r="17" spans="1:27" ht="15">
      <c r="A17" s="120">
        <v>13</v>
      </c>
      <c r="B17" s="46">
        <v>381103</v>
      </c>
      <c r="C17" s="47" t="s">
        <v>170</v>
      </c>
      <c r="D17" s="47">
        <f>'7.K.Részletező2'!R22</f>
        <v>5624</v>
      </c>
      <c r="E17" s="47">
        <f>'7.K.Részletező2'!R28</f>
        <v>1559</v>
      </c>
      <c r="F17" s="47">
        <f>'7.K.Részletező2'!R77</f>
        <v>14857</v>
      </c>
      <c r="G17" s="47">
        <v>0</v>
      </c>
      <c r="H17" s="47">
        <f>'7.K.Részletező2'!R120</f>
        <v>6000</v>
      </c>
      <c r="I17" s="49">
        <f>SUM(D17:H17)</f>
        <v>28040</v>
      </c>
      <c r="J17" s="48"/>
      <c r="K17" s="48"/>
      <c r="L17" s="48"/>
      <c r="M17" s="48"/>
      <c r="N17" s="48"/>
      <c r="O17" s="48">
        <f t="shared" si="3"/>
        <v>0</v>
      </c>
      <c r="P17" s="48"/>
      <c r="Q17" s="48"/>
      <c r="R17" s="48"/>
      <c r="S17" s="48"/>
      <c r="T17" s="48"/>
      <c r="U17" s="48">
        <f t="shared" si="1"/>
        <v>0</v>
      </c>
      <c r="V17" s="48">
        <f t="shared" si="0"/>
        <v>5624</v>
      </c>
      <c r="W17" s="48">
        <f t="shared" si="0"/>
        <v>1559</v>
      </c>
      <c r="X17" s="48">
        <f t="shared" si="0"/>
        <v>14857</v>
      </c>
      <c r="Y17" s="48">
        <f t="shared" si="0"/>
        <v>0</v>
      </c>
      <c r="Z17" s="48">
        <f t="shared" si="0"/>
        <v>6000</v>
      </c>
      <c r="AA17" s="49">
        <f t="shared" si="0"/>
        <v>28040</v>
      </c>
    </row>
    <row r="18" spans="1:27" ht="15">
      <c r="A18" s="120">
        <v>14</v>
      </c>
      <c r="B18" s="46">
        <v>522000</v>
      </c>
      <c r="C18" s="47" t="s">
        <v>171</v>
      </c>
      <c r="D18" s="47">
        <f>'7.K.Részletező2'!S22</f>
        <v>3985</v>
      </c>
      <c r="E18" s="47">
        <f>'7.K.Részletező2'!S28</f>
        <v>1103</v>
      </c>
      <c r="F18" s="47">
        <f>'7.K.Részletező2'!S77</f>
        <v>5288</v>
      </c>
      <c r="G18" s="48"/>
      <c r="H18" s="47">
        <v>0</v>
      </c>
      <c r="I18" s="49">
        <f aca="true" t="shared" si="4" ref="I18:I48">SUM(D18:H18)</f>
        <v>10376</v>
      </c>
      <c r="J18" s="48"/>
      <c r="K18" s="48"/>
      <c r="L18" s="48"/>
      <c r="M18" s="48"/>
      <c r="N18" s="48"/>
      <c r="O18" s="48">
        <f t="shared" si="3"/>
        <v>0</v>
      </c>
      <c r="P18" s="48"/>
      <c r="Q18" s="48"/>
      <c r="R18" s="48"/>
      <c r="S18" s="48"/>
      <c r="T18" s="48"/>
      <c r="U18" s="48">
        <f t="shared" si="1"/>
        <v>0</v>
      </c>
      <c r="V18" s="48">
        <f t="shared" si="0"/>
        <v>3985</v>
      </c>
      <c r="W18" s="48">
        <f t="shared" si="0"/>
        <v>1103</v>
      </c>
      <c r="X18" s="48">
        <f t="shared" si="0"/>
        <v>5288</v>
      </c>
      <c r="Y18" s="48">
        <f t="shared" si="0"/>
        <v>0</v>
      </c>
      <c r="Z18" s="48">
        <f t="shared" si="0"/>
        <v>0</v>
      </c>
      <c r="AA18" s="49">
        <f t="shared" si="0"/>
        <v>10376</v>
      </c>
    </row>
    <row r="19" spans="1:27" ht="15">
      <c r="A19" s="120">
        <v>15</v>
      </c>
      <c r="B19" s="46">
        <v>562912</v>
      </c>
      <c r="C19" s="47" t="s">
        <v>136</v>
      </c>
      <c r="D19" s="47"/>
      <c r="E19" s="48"/>
      <c r="F19" s="48">
        <f>'7.K.Részletező2'!T77</f>
        <v>4517</v>
      </c>
      <c r="G19" s="48"/>
      <c r="H19" s="47">
        <v>0</v>
      </c>
      <c r="I19" s="49">
        <f t="shared" si="4"/>
        <v>4517</v>
      </c>
      <c r="J19" s="48"/>
      <c r="K19" s="48"/>
      <c r="L19" s="48"/>
      <c r="M19" s="48"/>
      <c r="N19" s="48"/>
      <c r="O19" s="48">
        <f t="shared" si="3"/>
        <v>0</v>
      </c>
      <c r="P19" s="48"/>
      <c r="Q19" s="48"/>
      <c r="R19" s="48"/>
      <c r="S19" s="48"/>
      <c r="T19" s="48"/>
      <c r="U19" s="48">
        <f t="shared" si="1"/>
        <v>0</v>
      </c>
      <c r="V19" s="48">
        <f t="shared" si="0"/>
        <v>0</v>
      </c>
      <c r="W19" s="48">
        <f t="shared" si="0"/>
        <v>0</v>
      </c>
      <c r="X19" s="48">
        <f t="shared" si="0"/>
        <v>4517</v>
      </c>
      <c r="Y19" s="48">
        <f t="shared" si="0"/>
        <v>0</v>
      </c>
      <c r="Z19" s="48">
        <f t="shared" si="0"/>
        <v>0</v>
      </c>
      <c r="AA19" s="49">
        <f t="shared" si="0"/>
        <v>4517</v>
      </c>
    </row>
    <row r="20" spans="1:27" ht="15">
      <c r="A20" s="120">
        <v>16</v>
      </c>
      <c r="B20" s="46">
        <v>562913</v>
      </c>
      <c r="C20" s="47" t="s">
        <v>137</v>
      </c>
      <c r="D20" s="47">
        <f>'7.K.Részletező2'!U22</f>
        <v>9313</v>
      </c>
      <c r="E20" s="47">
        <f>'7.K.Részletező2'!U28</f>
        <v>2568</v>
      </c>
      <c r="F20" s="47">
        <f>'7.K.Részletező2'!U77</f>
        <v>18043</v>
      </c>
      <c r="G20" s="47"/>
      <c r="H20" s="47">
        <f>'7.K.Részletező2'!U120</f>
        <v>501</v>
      </c>
      <c r="I20" s="49">
        <f t="shared" si="4"/>
        <v>30425</v>
      </c>
      <c r="J20" s="48"/>
      <c r="K20" s="48"/>
      <c r="L20" s="48"/>
      <c r="M20" s="48"/>
      <c r="N20" s="48"/>
      <c r="O20" s="48">
        <f t="shared" si="3"/>
        <v>0</v>
      </c>
      <c r="P20" s="48"/>
      <c r="Q20" s="48"/>
      <c r="R20" s="48"/>
      <c r="S20" s="48"/>
      <c r="T20" s="48"/>
      <c r="U20" s="48">
        <f t="shared" si="1"/>
        <v>0</v>
      </c>
      <c r="V20" s="48">
        <f t="shared" si="0"/>
        <v>9313</v>
      </c>
      <c r="W20" s="48">
        <f t="shared" si="0"/>
        <v>2568</v>
      </c>
      <c r="X20" s="48">
        <f t="shared" si="0"/>
        <v>18043</v>
      </c>
      <c r="Y20" s="48">
        <f t="shared" si="0"/>
        <v>0</v>
      </c>
      <c r="Z20" s="48">
        <f t="shared" si="0"/>
        <v>501</v>
      </c>
      <c r="AA20" s="49">
        <f t="shared" si="0"/>
        <v>30425</v>
      </c>
    </row>
    <row r="21" spans="1:27" ht="15">
      <c r="A21" s="120">
        <v>17</v>
      </c>
      <c r="B21" s="46">
        <v>562916</v>
      </c>
      <c r="C21" s="47" t="s">
        <v>172</v>
      </c>
      <c r="D21" s="47"/>
      <c r="E21" s="48"/>
      <c r="F21" s="99"/>
      <c r="G21" s="48"/>
      <c r="H21" s="47">
        <v>0</v>
      </c>
      <c r="I21" s="49">
        <f t="shared" si="4"/>
        <v>0</v>
      </c>
      <c r="J21" s="48"/>
      <c r="K21" s="48"/>
      <c r="L21" s="48">
        <f>'7.K.Részletező2'!W77</f>
        <v>2652</v>
      </c>
      <c r="M21" s="48"/>
      <c r="N21" s="48"/>
      <c r="O21" s="48">
        <f t="shared" si="3"/>
        <v>2652</v>
      </c>
      <c r="P21" s="48"/>
      <c r="Q21" s="48"/>
      <c r="R21" s="48"/>
      <c r="S21" s="48"/>
      <c r="T21" s="48"/>
      <c r="U21" s="48">
        <f t="shared" si="1"/>
        <v>0</v>
      </c>
      <c r="V21" s="48">
        <f t="shared" si="0"/>
        <v>0</v>
      </c>
      <c r="W21" s="48">
        <f t="shared" si="0"/>
        <v>0</v>
      </c>
      <c r="X21" s="48">
        <f t="shared" si="0"/>
        <v>2652</v>
      </c>
      <c r="Y21" s="48">
        <f t="shared" si="0"/>
        <v>0</v>
      </c>
      <c r="Z21" s="48">
        <f t="shared" si="0"/>
        <v>0</v>
      </c>
      <c r="AA21" s="49">
        <f t="shared" si="0"/>
        <v>2652</v>
      </c>
    </row>
    <row r="22" spans="1:27" ht="15">
      <c r="A22" s="120">
        <v>18</v>
      </c>
      <c r="B22" s="46">
        <v>562917</v>
      </c>
      <c r="C22" s="47" t="s">
        <v>21</v>
      </c>
      <c r="D22" s="47"/>
      <c r="E22" s="48"/>
      <c r="F22" s="48"/>
      <c r="G22" s="99"/>
      <c r="H22" s="47">
        <v>0</v>
      </c>
      <c r="I22" s="49">
        <f t="shared" si="4"/>
        <v>0</v>
      </c>
      <c r="J22" s="48"/>
      <c r="K22" s="48"/>
      <c r="L22" s="48">
        <f>'7.K.Részletező2'!V77</f>
        <v>3305</v>
      </c>
      <c r="M22" s="48"/>
      <c r="N22" s="48"/>
      <c r="O22" s="48">
        <f t="shared" si="3"/>
        <v>3305</v>
      </c>
      <c r="P22" s="48"/>
      <c r="Q22" s="48"/>
      <c r="R22" s="48"/>
      <c r="S22" s="48"/>
      <c r="T22" s="48"/>
      <c r="U22" s="48">
        <f t="shared" si="1"/>
        <v>0</v>
      </c>
      <c r="V22" s="48">
        <f t="shared" si="0"/>
        <v>0</v>
      </c>
      <c r="W22" s="48">
        <f t="shared" si="0"/>
        <v>0</v>
      </c>
      <c r="X22" s="48">
        <f t="shared" si="0"/>
        <v>3305</v>
      </c>
      <c r="Y22" s="48">
        <f t="shared" si="0"/>
        <v>0</v>
      </c>
      <c r="Z22" s="48">
        <f t="shared" si="0"/>
        <v>0</v>
      </c>
      <c r="AA22" s="49">
        <f t="shared" si="0"/>
        <v>3305</v>
      </c>
    </row>
    <row r="23" spans="1:27" ht="15">
      <c r="A23" s="120">
        <v>19</v>
      </c>
      <c r="B23" s="46">
        <v>682001</v>
      </c>
      <c r="C23" s="47" t="s">
        <v>173</v>
      </c>
      <c r="D23" s="47"/>
      <c r="E23" s="48"/>
      <c r="F23" s="99">
        <f>'7.K.Részletező2'!X77</f>
        <v>254</v>
      </c>
      <c r="G23" s="48"/>
      <c r="H23" s="47"/>
      <c r="I23" s="49">
        <f t="shared" si="4"/>
        <v>254</v>
      </c>
      <c r="J23" s="48"/>
      <c r="K23" s="48"/>
      <c r="L23" s="48"/>
      <c r="M23" s="48"/>
      <c r="N23" s="48">
        <v>1558</v>
      </c>
      <c r="O23" s="48">
        <f t="shared" si="3"/>
        <v>1558</v>
      </c>
      <c r="P23" s="48"/>
      <c r="Q23" s="48"/>
      <c r="R23" s="48"/>
      <c r="S23" s="48"/>
      <c r="T23" s="48"/>
      <c r="U23" s="48">
        <f t="shared" si="1"/>
        <v>0</v>
      </c>
      <c r="V23" s="48">
        <f aca="true" t="shared" si="5" ref="V23:AA49">P23+J23+D23</f>
        <v>0</v>
      </c>
      <c r="W23" s="48">
        <f t="shared" si="5"/>
        <v>0</v>
      </c>
      <c r="X23" s="48">
        <f t="shared" si="5"/>
        <v>254</v>
      </c>
      <c r="Y23" s="48">
        <f t="shared" si="5"/>
        <v>0</v>
      </c>
      <c r="Z23" s="48">
        <f t="shared" si="5"/>
        <v>1558</v>
      </c>
      <c r="AA23" s="49">
        <f t="shared" si="5"/>
        <v>1812</v>
      </c>
    </row>
    <row r="24" spans="1:27" ht="26.25">
      <c r="A24" s="120">
        <v>20</v>
      </c>
      <c r="B24" s="46">
        <v>682002</v>
      </c>
      <c r="C24" s="47" t="s">
        <v>174</v>
      </c>
      <c r="D24" s="47"/>
      <c r="E24" s="48"/>
      <c r="F24" s="99">
        <f>'7.K.Részletező2'!Y77</f>
        <v>4826</v>
      </c>
      <c r="G24" s="48"/>
      <c r="H24" s="47"/>
      <c r="I24" s="49">
        <f t="shared" si="4"/>
        <v>4826</v>
      </c>
      <c r="J24" s="48"/>
      <c r="K24" s="48"/>
      <c r="L24" s="48"/>
      <c r="M24" s="48"/>
      <c r="N24" s="48"/>
      <c r="O24" s="48">
        <f t="shared" si="3"/>
        <v>0</v>
      </c>
      <c r="P24" s="48"/>
      <c r="Q24" s="48"/>
      <c r="R24" s="48"/>
      <c r="S24" s="48"/>
      <c r="T24" s="48"/>
      <c r="U24" s="48">
        <f t="shared" si="1"/>
        <v>0</v>
      </c>
      <c r="V24" s="48">
        <f t="shared" si="5"/>
        <v>0</v>
      </c>
      <c r="W24" s="48">
        <f t="shared" si="5"/>
        <v>0</v>
      </c>
      <c r="X24" s="48">
        <f t="shared" si="5"/>
        <v>4826</v>
      </c>
      <c r="Y24" s="48">
        <f t="shared" si="5"/>
        <v>0</v>
      </c>
      <c r="Z24" s="48">
        <f t="shared" si="5"/>
        <v>0</v>
      </c>
      <c r="AA24" s="49">
        <f t="shared" si="5"/>
        <v>4826</v>
      </c>
    </row>
    <row r="25" spans="1:27" ht="15">
      <c r="A25" s="120">
        <v>21</v>
      </c>
      <c r="B25" s="46">
        <v>750000</v>
      </c>
      <c r="C25" s="47" t="s">
        <v>175</v>
      </c>
      <c r="D25" s="47"/>
      <c r="E25" s="48"/>
      <c r="F25" s="99">
        <f>'7.K.Részletező2'!Z77</f>
        <v>250</v>
      </c>
      <c r="G25" s="48"/>
      <c r="H25" s="47"/>
      <c r="I25" s="49">
        <f t="shared" si="4"/>
        <v>250</v>
      </c>
      <c r="J25" s="48"/>
      <c r="K25" s="48"/>
      <c r="L25" s="48"/>
      <c r="M25" s="48"/>
      <c r="N25" s="48"/>
      <c r="O25" s="48">
        <f t="shared" si="3"/>
        <v>0</v>
      </c>
      <c r="P25" s="48"/>
      <c r="Q25" s="48"/>
      <c r="R25" s="48"/>
      <c r="S25" s="48"/>
      <c r="T25" s="48"/>
      <c r="U25" s="48">
        <f t="shared" si="1"/>
        <v>0</v>
      </c>
      <c r="V25" s="48">
        <f t="shared" si="5"/>
        <v>0</v>
      </c>
      <c r="W25" s="48">
        <f t="shared" si="5"/>
        <v>0</v>
      </c>
      <c r="X25" s="48">
        <f t="shared" si="5"/>
        <v>250</v>
      </c>
      <c r="Y25" s="48">
        <f t="shared" si="5"/>
        <v>0</v>
      </c>
      <c r="Z25" s="48">
        <f t="shared" si="5"/>
        <v>0</v>
      </c>
      <c r="AA25" s="49">
        <f t="shared" si="5"/>
        <v>250</v>
      </c>
    </row>
    <row r="26" spans="1:27" ht="15">
      <c r="A26" s="120">
        <v>22</v>
      </c>
      <c r="B26" s="46">
        <v>791200</v>
      </c>
      <c r="C26" s="47" t="s">
        <v>176</v>
      </c>
      <c r="D26" s="47"/>
      <c r="E26" s="48"/>
      <c r="F26" s="48"/>
      <c r="G26" s="48"/>
      <c r="H26" s="47"/>
      <c r="I26" s="49">
        <f t="shared" si="4"/>
        <v>0</v>
      </c>
      <c r="J26" s="48"/>
      <c r="K26" s="48"/>
      <c r="L26" s="48"/>
      <c r="M26" s="99">
        <f>'7.K.Részletező2'!AA102</f>
        <v>3814</v>
      </c>
      <c r="N26" s="48"/>
      <c r="O26" s="48">
        <f t="shared" si="3"/>
        <v>3814</v>
      </c>
      <c r="P26" s="48"/>
      <c r="Q26" s="48"/>
      <c r="R26" s="48"/>
      <c r="S26" s="48"/>
      <c r="T26" s="48"/>
      <c r="U26" s="48">
        <f t="shared" si="1"/>
        <v>0</v>
      </c>
      <c r="V26" s="48">
        <f t="shared" si="5"/>
        <v>0</v>
      </c>
      <c r="W26" s="48">
        <f t="shared" si="5"/>
        <v>0</v>
      </c>
      <c r="X26" s="48">
        <f t="shared" si="5"/>
        <v>0</v>
      </c>
      <c r="Y26" s="48">
        <f t="shared" si="5"/>
        <v>3814</v>
      </c>
      <c r="Z26" s="48">
        <f t="shared" si="5"/>
        <v>0</v>
      </c>
      <c r="AA26" s="49">
        <f t="shared" si="5"/>
        <v>3814</v>
      </c>
    </row>
    <row r="27" spans="1:27" ht="15">
      <c r="A27" s="120">
        <v>23</v>
      </c>
      <c r="B27" s="46">
        <v>811000</v>
      </c>
      <c r="C27" s="47" t="s">
        <v>141</v>
      </c>
      <c r="D27" s="47">
        <f>'7.K.Részletező2'!AB22</f>
        <v>5597</v>
      </c>
      <c r="E27" s="47">
        <f>'7.K.Részletező2'!AB28</f>
        <v>1550</v>
      </c>
      <c r="F27" s="47">
        <f>'7.K.Részletező2'!AB77</f>
        <v>470</v>
      </c>
      <c r="G27" s="48"/>
      <c r="H27" s="47">
        <f>'7.K.Részletező2'!AB120</f>
        <v>60</v>
      </c>
      <c r="I27" s="49">
        <f t="shared" si="4"/>
        <v>7677</v>
      </c>
      <c r="J27" s="48"/>
      <c r="K27" s="48"/>
      <c r="L27" s="48"/>
      <c r="M27" s="48"/>
      <c r="N27" s="48"/>
      <c r="O27" s="48">
        <f t="shared" si="3"/>
        <v>0</v>
      </c>
      <c r="P27" s="48"/>
      <c r="Q27" s="48"/>
      <c r="R27" s="48"/>
      <c r="S27" s="48"/>
      <c r="T27" s="48"/>
      <c r="U27" s="48">
        <f t="shared" si="1"/>
        <v>0</v>
      </c>
      <c r="V27" s="48">
        <f t="shared" si="5"/>
        <v>5597</v>
      </c>
      <c r="W27" s="48">
        <f t="shared" si="5"/>
        <v>1550</v>
      </c>
      <c r="X27" s="48">
        <f t="shared" si="5"/>
        <v>470</v>
      </c>
      <c r="Y27" s="48">
        <f t="shared" si="5"/>
        <v>0</v>
      </c>
      <c r="Z27" s="48">
        <f t="shared" si="5"/>
        <v>60</v>
      </c>
      <c r="AA27" s="49">
        <f t="shared" si="5"/>
        <v>7677</v>
      </c>
    </row>
    <row r="28" spans="1:27" ht="15">
      <c r="A28" s="120">
        <v>24</v>
      </c>
      <c r="B28" s="46">
        <v>813000</v>
      </c>
      <c r="C28" s="47" t="s">
        <v>177</v>
      </c>
      <c r="D28" s="47">
        <f>'7.K.Részletező2'!AC22</f>
        <v>14229</v>
      </c>
      <c r="E28" s="47">
        <f>'7.K.Részletező2'!AC28</f>
        <v>3913</v>
      </c>
      <c r="F28" s="47">
        <f>'7.K.Részletező2'!AC77</f>
        <v>12681</v>
      </c>
      <c r="G28" s="47">
        <v>0</v>
      </c>
      <c r="H28" s="47">
        <f>'7.K.Részletező2'!AC120</f>
        <v>872</v>
      </c>
      <c r="I28" s="49">
        <f t="shared" si="4"/>
        <v>31695</v>
      </c>
      <c r="J28" s="48"/>
      <c r="K28" s="48"/>
      <c r="L28" s="48"/>
      <c r="M28" s="48"/>
      <c r="N28" s="48"/>
      <c r="O28" s="48">
        <f t="shared" si="3"/>
        <v>0</v>
      </c>
      <c r="P28" s="48"/>
      <c r="Q28" s="48"/>
      <c r="R28" s="48"/>
      <c r="S28" s="48"/>
      <c r="T28" s="48"/>
      <c r="U28" s="48">
        <f t="shared" si="1"/>
        <v>0</v>
      </c>
      <c r="V28" s="48">
        <f t="shared" si="5"/>
        <v>14229</v>
      </c>
      <c r="W28" s="48">
        <f t="shared" si="5"/>
        <v>3913</v>
      </c>
      <c r="X28" s="48">
        <f t="shared" si="5"/>
        <v>12681</v>
      </c>
      <c r="Y28" s="48">
        <f t="shared" si="5"/>
        <v>0</v>
      </c>
      <c r="Z28" s="48">
        <f t="shared" si="5"/>
        <v>872</v>
      </c>
      <c r="AA28" s="49">
        <f t="shared" si="5"/>
        <v>31695</v>
      </c>
    </row>
    <row r="29" spans="1:27" ht="15">
      <c r="A29" s="120">
        <v>25</v>
      </c>
      <c r="B29" s="46">
        <v>841146</v>
      </c>
      <c r="C29" s="47" t="s">
        <v>178</v>
      </c>
      <c r="D29" s="47">
        <f>'7.K.Részletező2'!AD22</f>
        <v>17834</v>
      </c>
      <c r="E29" s="47">
        <f>'7.K.Részletező2'!AD28</f>
        <v>5602</v>
      </c>
      <c r="F29" s="47">
        <f>'7.K.Részletező2'!AD77</f>
        <v>16937</v>
      </c>
      <c r="G29" s="48"/>
      <c r="H29" s="47">
        <f>'7.K.Részletező2'!AD120</f>
        <v>1591</v>
      </c>
      <c r="I29" s="49">
        <f>SUM(D29:H29)</f>
        <v>41964</v>
      </c>
      <c r="J29" s="48"/>
      <c r="K29" s="48"/>
      <c r="L29" s="48"/>
      <c r="M29" s="48"/>
      <c r="N29" s="48"/>
      <c r="O29" s="48">
        <f t="shared" si="3"/>
        <v>0</v>
      </c>
      <c r="P29" s="48"/>
      <c r="Q29" s="48"/>
      <c r="R29" s="48"/>
      <c r="S29" s="48"/>
      <c r="T29" s="48"/>
      <c r="U29" s="48">
        <f t="shared" si="1"/>
        <v>0</v>
      </c>
      <c r="V29" s="48">
        <f t="shared" si="5"/>
        <v>17834</v>
      </c>
      <c r="W29" s="48">
        <f t="shared" si="5"/>
        <v>5602</v>
      </c>
      <c r="X29" s="48">
        <f t="shared" si="5"/>
        <v>16937</v>
      </c>
      <c r="Y29" s="48">
        <f t="shared" si="5"/>
        <v>0</v>
      </c>
      <c r="Z29" s="48">
        <f t="shared" si="5"/>
        <v>1591</v>
      </c>
      <c r="AA29" s="49">
        <f t="shared" si="5"/>
        <v>41964</v>
      </c>
    </row>
    <row r="30" spans="1:27" ht="15">
      <c r="A30" s="120">
        <v>26</v>
      </c>
      <c r="B30" s="46">
        <v>841402</v>
      </c>
      <c r="C30" s="47" t="s">
        <v>122</v>
      </c>
      <c r="D30" s="47"/>
      <c r="E30" s="48"/>
      <c r="F30" s="47">
        <f>'7.K.Részletező2'!AE77</f>
        <v>17302</v>
      </c>
      <c r="G30" s="48"/>
      <c r="H30" s="47"/>
      <c r="I30" s="49">
        <f t="shared" si="4"/>
        <v>17302</v>
      </c>
      <c r="J30" s="48"/>
      <c r="K30" s="48"/>
      <c r="L30" s="48"/>
      <c r="M30" s="48"/>
      <c r="N30" s="48"/>
      <c r="O30" s="48">
        <f t="shared" si="3"/>
        <v>0</v>
      </c>
      <c r="P30" s="48"/>
      <c r="Q30" s="48"/>
      <c r="R30" s="48"/>
      <c r="S30" s="48"/>
      <c r="T30" s="48"/>
      <c r="U30" s="48">
        <f t="shared" si="1"/>
        <v>0</v>
      </c>
      <c r="V30" s="48">
        <f t="shared" si="5"/>
        <v>0</v>
      </c>
      <c r="W30" s="48">
        <f t="shared" si="5"/>
        <v>0</v>
      </c>
      <c r="X30" s="48">
        <f t="shared" si="5"/>
        <v>17302</v>
      </c>
      <c r="Y30" s="48">
        <f t="shared" si="5"/>
        <v>0</v>
      </c>
      <c r="Z30" s="48">
        <f t="shared" si="5"/>
        <v>0</v>
      </c>
      <c r="AA30" s="49">
        <f t="shared" si="5"/>
        <v>17302</v>
      </c>
    </row>
    <row r="31" spans="1:27" ht="26.25">
      <c r="A31" s="120">
        <v>27</v>
      </c>
      <c r="B31" s="46">
        <v>841403</v>
      </c>
      <c r="C31" s="47" t="s">
        <v>179</v>
      </c>
      <c r="D31" s="47">
        <f>'7.K.Részletező2'!AF22</f>
        <v>1440</v>
      </c>
      <c r="E31" s="48">
        <f>'7.K.Részletező2'!AF28</f>
        <v>347</v>
      </c>
      <c r="F31" s="47">
        <f>'7.K.Részletező2'!AF77</f>
        <v>23072</v>
      </c>
      <c r="G31" s="48"/>
      <c r="H31" s="47">
        <f>'7.K.Részletező2'!AF111+'7.K.Részletező2'!AF116</f>
        <v>3904</v>
      </c>
      <c r="I31" s="49">
        <f t="shared" si="4"/>
        <v>28763</v>
      </c>
      <c r="J31" s="48"/>
      <c r="K31" s="48"/>
      <c r="L31" s="48"/>
      <c r="M31" s="48"/>
      <c r="N31" s="48">
        <f>'7.K.Részletező2'!AF119</f>
        <v>2500</v>
      </c>
      <c r="O31" s="48">
        <f t="shared" si="3"/>
        <v>2500</v>
      </c>
      <c r="P31" s="48"/>
      <c r="Q31" s="48"/>
      <c r="R31" s="48"/>
      <c r="S31" s="48"/>
      <c r="T31" s="48"/>
      <c r="U31" s="48">
        <f t="shared" si="1"/>
        <v>0</v>
      </c>
      <c r="V31" s="48">
        <f t="shared" si="5"/>
        <v>1440</v>
      </c>
      <c r="W31" s="48">
        <f t="shared" si="5"/>
        <v>347</v>
      </c>
      <c r="X31" s="48">
        <f t="shared" si="5"/>
        <v>23072</v>
      </c>
      <c r="Y31" s="48">
        <f t="shared" si="5"/>
        <v>0</v>
      </c>
      <c r="Z31" s="48">
        <f>T31+N31+H31</f>
        <v>6404</v>
      </c>
      <c r="AA31" s="49">
        <f t="shared" si="5"/>
        <v>31263</v>
      </c>
    </row>
    <row r="32" spans="1:27" ht="15">
      <c r="A32" s="120">
        <v>28</v>
      </c>
      <c r="B32" s="46">
        <v>842155</v>
      </c>
      <c r="C32" s="47" t="s">
        <v>125</v>
      </c>
      <c r="D32" s="47"/>
      <c r="E32" s="48"/>
      <c r="F32" s="48"/>
      <c r="G32" s="48"/>
      <c r="H32" s="47"/>
      <c r="I32" s="49">
        <f t="shared" si="4"/>
        <v>0</v>
      </c>
      <c r="J32" s="48"/>
      <c r="K32" s="48"/>
      <c r="L32" s="48">
        <f>'7.K.Részletező2'!AG77</f>
        <v>1035</v>
      </c>
      <c r="M32" s="48"/>
      <c r="N32" s="48"/>
      <c r="O32" s="48">
        <f t="shared" si="3"/>
        <v>1035</v>
      </c>
      <c r="P32" s="48"/>
      <c r="Q32" s="48"/>
      <c r="R32" s="48"/>
      <c r="S32" s="48"/>
      <c r="T32" s="48"/>
      <c r="U32" s="48">
        <f t="shared" si="1"/>
        <v>0</v>
      </c>
      <c r="V32" s="48">
        <f t="shared" si="5"/>
        <v>0</v>
      </c>
      <c r="W32" s="48">
        <f t="shared" si="5"/>
        <v>0</v>
      </c>
      <c r="X32" s="48">
        <f t="shared" si="5"/>
        <v>1035</v>
      </c>
      <c r="Y32" s="48">
        <f t="shared" si="5"/>
        <v>0</v>
      </c>
      <c r="Z32" s="48">
        <f t="shared" si="5"/>
        <v>0</v>
      </c>
      <c r="AA32" s="49">
        <f t="shared" si="5"/>
        <v>1035</v>
      </c>
    </row>
    <row r="33" spans="1:27" ht="15">
      <c r="A33" s="120">
        <v>29</v>
      </c>
      <c r="B33" s="46">
        <v>852011</v>
      </c>
      <c r="C33" s="47" t="s">
        <v>180</v>
      </c>
      <c r="D33" s="47"/>
      <c r="E33" s="48"/>
      <c r="F33" s="48"/>
      <c r="G33" s="48"/>
      <c r="H33" s="47"/>
      <c r="I33" s="49">
        <f t="shared" si="4"/>
        <v>0</v>
      </c>
      <c r="J33" s="48">
        <f>'7.K.Részletező2'!AH22</f>
        <v>450</v>
      </c>
      <c r="K33" s="48">
        <f>'7.K.Részletező2'!AH28</f>
        <v>108</v>
      </c>
      <c r="L33" s="48">
        <f>'7.K.Részletező2'!AH77</f>
        <v>7827</v>
      </c>
      <c r="M33" s="48"/>
      <c r="N33" s="48"/>
      <c r="O33" s="48">
        <f t="shared" si="3"/>
        <v>8385</v>
      </c>
      <c r="P33" s="48"/>
      <c r="Q33" s="48"/>
      <c r="R33" s="48"/>
      <c r="S33" s="48"/>
      <c r="T33" s="48"/>
      <c r="U33" s="48">
        <f t="shared" si="1"/>
        <v>0</v>
      </c>
      <c r="V33" s="48">
        <f t="shared" si="5"/>
        <v>450</v>
      </c>
      <c r="W33" s="48">
        <f t="shared" si="5"/>
        <v>108</v>
      </c>
      <c r="X33" s="48">
        <f t="shared" si="5"/>
        <v>7827</v>
      </c>
      <c r="Y33" s="48">
        <f t="shared" si="5"/>
        <v>0</v>
      </c>
      <c r="Z33" s="48">
        <f t="shared" si="5"/>
        <v>0</v>
      </c>
      <c r="AA33" s="49">
        <f t="shared" si="5"/>
        <v>8385</v>
      </c>
    </row>
    <row r="34" spans="1:28" s="42" customFormat="1" ht="18.75">
      <c r="A34" s="120">
        <v>30</v>
      </c>
      <c r="B34" s="46">
        <v>862101</v>
      </c>
      <c r="C34" s="47" t="s">
        <v>181</v>
      </c>
      <c r="D34" s="47">
        <f>'7.K.Részletező2'!AI22</f>
        <v>3022</v>
      </c>
      <c r="E34" s="47">
        <f>'7.K.Részletező2'!AI28</f>
        <v>813</v>
      </c>
      <c r="F34" s="47">
        <f>'7.K.Részletező2'!AI77</f>
        <v>6803</v>
      </c>
      <c r="G34" s="47"/>
      <c r="H34" s="47"/>
      <c r="I34" s="49">
        <f t="shared" si="4"/>
        <v>10638</v>
      </c>
      <c r="J34" s="49"/>
      <c r="K34" s="49"/>
      <c r="L34" s="49"/>
      <c r="M34" s="49"/>
      <c r="N34" s="49"/>
      <c r="O34" s="48">
        <f t="shared" si="3"/>
        <v>0</v>
      </c>
      <c r="P34" s="49"/>
      <c r="Q34" s="49"/>
      <c r="R34" s="49"/>
      <c r="S34" s="49"/>
      <c r="T34" s="49"/>
      <c r="U34" s="48">
        <f t="shared" si="1"/>
        <v>0</v>
      </c>
      <c r="V34" s="48">
        <f t="shared" si="5"/>
        <v>3022</v>
      </c>
      <c r="W34" s="48">
        <f t="shared" si="5"/>
        <v>813</v>
      </c>
      <c r="X34" s="48">
        <f t="shared" si="5"/>
        <v>6803</v>
      </c>
      <c r="Y34" s="48">
        <f t="shared" si="5"/>
        <v>0</v>
      </c>
      <c r="Z34" s="48">
        <f t="shared" si="5"/>
        <v>0</v>
      </c>
      <c r="AA34" s="49">
        <f t="shared" si="5"/>
        <v>10638</v>
      </c>
      <c r="AB34" s="116"/>
    </row>
    <row r="35" spans="1:27" ht="15">
      <c r="A35" s="120">
        <v>31</v>
      </c>
      <c r="B35" s="46">
        <v>862102</v>
      </c>
      <c r="C35" s="47" t="s">
        <v>135</v>
      </c>
      <c r="D35" s="47"/>
      <c r="E35" s="43"/>
      <c r="F35" s="47">
        <f>'7.K.Részletező2'!AJ77-500</f>
        <v>1173</v>
      </c>
      <c r="G35" s="43"/>
      <c r="H35" s="47"/>
      <c r="I35" s="49">
        <f t="shared" si="4"/>
        <v>1173</v>
      </c>
      <c r="J35" s="43"/>
      <c r="K35" s="43"/>
      <c r="L35" s="43">
        <v>500</v>
      </c>
      <c r="M35" s="43"/>
      <c r="N35" s="43"/>
      <c r="O35" s="48">
        <f t="shared" si="3"/>
        <v>500</v>
      </c>
      <c r="P35" s="43"/>
      <c r="Q35" s="43"/>
      <c r="R35" s="43"/>
      <c r="S35" s="43"/>
      <c r="T35" s="43"/>
      <c r="U35" s="48">
        <f t="shared" si="1"/>
        <v>0</v>
      </c>
      <c r="V35" s="48">
        <f t="shared" si="5"/>
        <v>0</v>
      </c>
      <c r="W35" s="48">
        <f t="shared" si="5"/>
        <v>0</v>
      </c>
      <c r="X35" s="48">
        <f t="shared" si="5"/>
        <v>1673</v>
      </c>
      <c r="Y35" s="48">
        <f t="shared" si="5"/>
        <v>0</v>
      </c>
      <c r="Z35" s="48">
        <f t="shared" si="5"/>
        <v>0</v>
      </c>
      <c r="AA35" s="49">
        <f t="shared" si="5"/>
        <v>1673</v>
      </c>
    </row>
    <row r="36" spans="1:28" s="118" customFormat="1" ht="18.75">
      <c r="A36" s="120">
        <v>32</v>
      </c>
      <c r="B36" s="46">
        <v>862231</v>
      </c>
      <c r="C36" s="47" t="s">
        <v>182</v>
      </c>
      <c r="D36" s="47"/>
      <c r="E36" s="48"/>
      <c r="F36" s="47">
        <f>'7.K.Részletező2'!AK77</f>
        <v>300</v>
      </c>
      <c r="G36" s="48"/>
      <c r="H36" s="47"/>
      <c r="I36" s="49">
        <f t="shared" si="4"/>
        <v>300</v>
      </c>
      <c r="J36" s="48"/>
      <c r="K36" s="48"/>
      <c r="L36" s="48"/>
      <c r="M36" s="48"/>
      <c r="N36" s="48"/>
      <c r="O36" s="48">
        <f t="shared" si="3"/>
        <v>0</v>
      </c>
      <c r="P36" s="48"/>
      <c r="Q36" s="48"/>
      <c r="R36" s="48"/>
      <c r="S36" s="48"/>
      <c r="T36" s="48"/>
      <c r="U36" s="48">
        <f t="shared" si="1"/>
        <v>0</v>
      </c>
      <c r="V36" s="48">
        <f t="shared" si="5"/>
        <v>0</v>
      </c>
      <c r="W36" s="48">
        <f t="shared" si="5"/>
        <v>0</v>
      </c>
      <c r="X36" s="48">
        <f t="shared" si="5"/>
        <v>300</v>
      </c>
      <c r="Y36" s="48">
        <f t="shared" si="5"/>
        <v>0</v>
      </c>
      <c r="Z36" s="48">
        <f t="shared" si="5"/>
        <v>0</v>
      </c>
      <c r="AA36" s="49">
        <f t="shared" si="5"/>
        <v>300</v>
      </c>
      <c r="AB36" s="116"/>
    </row>
    <row r="37" spans="1:27" ht="15">
      <c r="A37" s="120">
        <v>33</v>
      </c>
      <c r="B37" s="46">
        <v>862301</v>
      </c>
      <c r="C37" s="47" t="s">
        <v>134</v>
      </c>
      <c r="D37" s="47"/>
      <c r="E37" s="48"/>
      <c r="F37" s="47">
        <f>'7.K.Részletező2'!AL77</f>
        <v>1200</v>
      </c>
      <c r="G37" s="48"/>
      <c r="H37" s="47"/>
      <c r="I37" s="49">
        <f t="shared" si="4"/>
        <v>1200</v>
      </c>
      <c r="J37" s="48"/>
      <c r="K37" s="48"/>
      <c r="L37" s="48"/>
      <c r="M37" s="48"/>
      <c r="N37" s="48"/>
      <c r="O37" s="48">
        <f t="shared" si="3"/>
        <v>0</v>
      </c>
      <c r="P37" s="48"/>
      <c r="Q37" s="48"/>
      <c r="R37" s="48"/>
      <c r="S37" s="48"/>
      <c r="T37" s="48"/>
      <c r="U37" s="48">
        <f t="shared" si="1"/>
        <v>0</v>
      </c>
      <c r="V37" s="48">
        <f t="shared" si="5"/>
        <v>0</v>
      </c>
      <c r="W37" s="48">
        <f t="shared" si="5"/>
        <v>0</v>
      </c>
      <c r="X37" s="48">
        <f t="shared" si="5"/>
        <v>1200</v>
      </c>
      <c r="Y37" s="48">
        <f t="shared" si="5"/>
        <v>0</v>
      </c>
      <c r="Z37" s="48">
        <f t="shared" si="5"/>
        <v>0</v>
      </c>
      <c r="AA37" s="49">
        <f t="shared" si="5"/>
        <v>1200</v>
      </c>
    </row>
    <row r="38" spans="1:27" ht="26.25">
      <c r="A38" s="120">
        <v>34</v>
      </c>
      <c r="B38" s="46">
        <v>869041</v>
      </c>
      <c r="C38" s="47" t="s">
        <v>131</v>
      </c>
      <c r="D38" s="47">
        <f>'7.K.Részletező2'!AM22</f>
        <v>2844</v>
      </c>
      <c r="E38" s="47">
        <f>'7.K.Részletező2'!AM28</f>
        <v>735</v>
      </c>
      <c r="F38" s="47">
        <f>'7.K.Részletező2'!AM77</f>
        <v>923</v>
      </c>
      <c r="G38" s="47">
        <v>0</v>
      </c>
      <c r="H38" s="47">
        <v>0</v>
      </c>
      <c r="I38" s="49">
        <f t="shared" si="4"/>
        <v>4502</v>
      </c>
      <c r="J38" s="48"/>
      <c r="K38" s="48"/>
      <c r="L38" s="48"/>
      <c r="M38" s="48"/>
      <c r="N38" s="48"/>
      <c r="O38" s="48">
        <f t="shared" si="3"/>
        <v>0</v>
      </c>
      <c r="P38" s="48"/>
      <c r="Q38" s="48"/>
      <c r="R38" s="48"/>
      <c r="S38" s="48"/>
      <c r="T38" s="48"/>
      <c r="U38" s="48">
        <f t="shared" si="1"/>
        <v>0</v>
      </c>
      <c r="V38" s="48">
        <f t="shared" si="5"/>
        <v>2844</v>
      </c>
      <c r="W38" s="48">
        <f t="shared" si="5"/>
        <v>735</v>
      </c>
      <c r="X38" s="48">
        <f t="shared" si="5"/>
        <v>923</v>
      </c>
      <c r="Y38" s="48">
        <f t="shared" si="5"/>
        <v>0</v>
      </c>
      <c r="Z38" s="48">
        <f t="shared" si="5"/>
        <v>0</v>
      </c>
      <c r="AA38" s="49">
        <f t="shared" si="5"/>
        <v>4502</v>
      </c>
    </row>
    <row r="39" spans="1:27" ht="15">
      <c r="A39" s="120">
        <v>35</v>
      </c>
      <c r="B39" s="46">
        <v>889921</v>
      </c>
      <c r="C39" s="47" t="s">
        <v>22</v>
      </c>
      <c r="D39" s="47"/>
      <c r="E39" s="48"/>
      <c r="F39" s="47">
        <f>'7.K.Részletező2'!AN77</f>
        <v>1421</v>
      </c>
      <c r="G39" s="48"/>
      <c r="H39" s="47"/>
      <c r="I39" s="49">
        <f t="shared" si="4"/>
        <v>1421</v>
      </c>
      <c r="J39" s="48"/>
      <c r="K39" s="48"/>
      <c r="L39" s="48"/>
      <c r="M39" s="48"/>
      <c r="N39" s="48"/>
      <c r="O39" s="48">
        <f t="shared" si="3"/>
        <v>0</v>
      </c>
      <c r="P39" s="48"/>
      <c r="Q39" s="48"/>
      <c r="R39" s="48"/>
      <c r="S39" s="48"/>
      <c r="T39" s="48"/>
      <c r="U39" s="48">
        <f t="shared" si="1"/>
        <v>0</v>
      </c>
      <c r="V39" s="48">
        <f t="shared" si="5"/>
        <v>0</v>
      </c>
      <c r="W39" s="48">
        <f t="shared" si="5"/>
        <v>0</v>
      </c>
      <c r="X39" s="48">
        <f t="shared" si="5"/>
        <v>1421</v>
      </c>
      <c r="Y39" s="48">
        <f t="shared" si="5"/>
        <v>0</v>
      </c>
      <c r="Z39" s="48">
        <f t="shared" si="5"/>
        <v>0</v>
      </c>
      <c r="AA39" s="49">
        <f t="shared" si="5"/>
        <v>1421</v>
      </c>
    </row>
    <row r="40" spans="1:27" ht="15">
      <c r="A40" s="120">
        <v>36</v>
      </c>
      <c r="B40" s="46">
        <v>889924</v>
      </c>
      <c r="C40" s="47" t="s">
        <v>129</v>
      </c>
      <c r="D40" s="47"/>
      <c r="E40" s="48"/>
      <c r="F40" s="47">
        <f>'7.K.Részletező2'!AO77</f>
        <v>372</v>
      </c>
      <c r="G40" s="48"/>
      <c r="H40" s="47"/>
      <c r="I40" s="49">
        <f t="shared" si="4"/>
        <v>372</v>
      </c>
      <c r="J40" s="48"/>
      <c r="K40" s="48"/>
      <c r="L40" s="48"/>
      <c r="M40" s="48"/>
      <c r="N40" s="48"/>
      <c r="O40" s="48">
        <f t="shared" si="3"/>
        <v>0</v>
      </c>
      <c r="P40" s="48"/>
      <c r="Q40" s="48"/>
      <c r="R40" s="48"/>
      <c r="S40" s="48"/>
      <c r="T40" s="48"/>
      <c r="U40" s="48">
        <f t="shared" si="1"/>
        <v>0</v>
      </c>
      <c r="V40" s="48">
        <f t="shared" si="5"/>
        <v>0</v>
      </c>
      <c r="W40" s="48">
        <f t="shared" si="5"/>
        <v>0</v>
      </c>
      <c r="X40" s="48">
        <f t="shared" si="5"/>
        <v>372</v>
      </c>
      <c r="Y40" s="48">
        <f t="shared" si="5"/>
        <v>0</v>
      </c>
      <c r="Z40" s="48">
        <f t="shared" si="5"/>
        <v>0</v>
      </c>
      <c r="AA40" s="49">
        <f t="shared" si="5"/>
        <v>372</v>
      </c>
    </row>
    <row r="41" spans="1:27" ht="15">
      <c r="A41" s="120">
        <v>37</v>
      </c>
      <c r="B41" s="46">
        <v>889928</v>
      </c>
      <c r="C41" s="47" t="s">
        <v>183</v>
      </c>
      <c r="D41" s="47">
        <f>'7.K.Részletező2'!AP22</f>
        <v>2172</v>
      </c>
      <c r="E41" s="47">
        <f>'7.K.Részletező2'!AP28</f>
        <v>599</v>
      </c>
      <c r="F41" s="47">
        <f>'7.K.Részletező2'!AP77</f>
        <v>1758</v>
      </c>
      <c r="G41" s="48"/>
      <c r="H41" s="47"/>
      <c r="I41" s="49">
        <f t="shared" si="4"/>
        <v>4529</v>
      </c>
      <c r="J41" s="48"/>
      <c r="K41" s="48"/>
      <c r="L41" s="48"/>
      <c r="M41" s="48"/>
      <c r="N41" s="48"/>
      <c r="O41" s="48">
        <f t="shared" si="3"/>
        <v>0</v>
      </c>
      <c r="P41" s="48"/>
      <c r="Q41" s="48"/>
      <c r="R41" s="48"/>
      <c r="S41" s="48"/>
      <c r="T41" s="48"/>
      <c r="U41" s="48">
        <f t="shared" si="1"/>
        <v>0</v>
      </c>
      <c r="V41" s="48">
        <f t="shared" si="5"/>
        <v>2172</v>
      </c>
      <c r="W41" s="48">
        <f t="shared" si="5"/>
        <v>599</v>
      </c>
      <c r="X41" s="48">
        <f t="shared" si="5"/>
        <v>1758</v>
      </c>
      <c r="Y41" s="48">
        <f t="shared" si="5"/>
        <v>0</v>
      </c>
      <c r="Z41" s="48">
        <f t="shared" si="5"/>
        <v>0</v>
      </c>
      <c r="AA41" s="49">
        <f t="shared" si="5"/>
        <v>4529</v>
      </c>
    </row>
    <row r="42" spans="1:28" s="118" customFormat="1" ht="18.75">
      <c r="A42" s="120">
        <v>38</v>
      </c>
      <c r="B42" s="46">
        <v>890301</v>
      </c>
      <c r="C42" s="47" t="s">
        <v>128</v>
      </c>
      <c r="D42" s="47"/>
      <c r="E42" s="48"/>
      <c r="F42" s="48"/>
      <c r="G42" s="48"/>
      <c r="H42" s="47"/>
      <c r="I42" s="49">
        <f t="shared" si="4"/>
        <v>0</v>
      </c>
      <c r="J42" s="48"/>
      <c r="K42" s="48"/>
      <c r="L42" s="48"/>
      <c r="M42" s="48">
        <f>'7.K.Részletező2'!AQ102</f>
        <v>1100</v>
      </c>
      <c r="N42" s="48"/>
      <c r="O42" s="48">
        <f t="shared" si="3"/>
        <v>1100</v>
      </c>
      <c r="P42" s="48"/>
      <c r="Q42" s="48"/>
      <c r="R42" s="48"/>
      <c r="S42" s="48"/>
      <c r="T42" s="48"/>
      <c r="U42" s="48">
        <f t="shared" si="1"/>
        <v>0</v>
      </c>
      <c r="V42" s="48">
        <f t="shared" si="5"/>
        <v>0</v>
      </c>
      <c r="W42" s="48">
        <f t="shared" si="5"/>
        <v>0</v>
      </c>
      <c r="X42" s="48">
        <f t="shared" si="5"/>
        <v>0</v>
      </c>
      <c r="Y42" s="48">
        <f t="shared" si="5"/>
        <v>1100</v>
      </c>
      <c r="Z42" s="48">
        <f t="shared" si="5"/>
        <v>0</v>
      </c>
      <c r="AA42" s="49">
        <f t="shared" si="5"/>
        <v>1100</v>
      </c>
      <c r="AB42" s="116"/>
    </row>
    <row r="43" spans="1:28" s="42" customFormat="1" ht="27">
      <c r="A43" s="120">
        <v>39</v>
      </c>
      <c r="B43" s="47" t="s">
        <v>299</v>
      </c>
      <c r="C43" s="47" t="s">
        <v>143</v>
      </c>
      <c r="D43" s="47">
        <f>'7.K.Részletező2'!AR22+'7.K.Részletező2'!AS22</f>
        <v>11725</v>
      </c>
      <c r="E43" s="47">
        <f>'7.K.Részletező2'!AR28+'7.K.Részletező2'!AS28</f>
        <v>1582</v>
      </c>
      <c r="F43" s="47">
        <f>'7.K.Részletező2'!AS77+'7.K.Részletező2'!AR77</f>
        <v>391</v>
      </c>
      <c r="G43" s="52"/>
      <c r="H43" s="47">
        <f>'7.K.Részletező2'!AR120+'7.K.Részletező2'!AS120</f>
        <v>1239</v>
      </c>
      <c r="I43" s="49">
        <f t="shared" si="4"/>
        <v>14937</v>
      </c>
      <c r="J43" s="52"/>
      <c r="K43" s="52"/>
      <c r="L43" s="52"/>
      <c r="M43" s="52"/>
      <c r="N43" s="52"/>
      <c r="O43" s="48">
        <f t="shared" si="3"/>
        <v>0</v>
      </c>
      <c r="P43" s="52"/>
      <c r="Q43" s="52"/>
      <c r="R43" s="52"/>
      <c r="S43" s="52"/>
      <c r="T43" s="52"/>
      <c r="U43" s="48">
        <f t="shared" si="1"/>
        <v>0</v>
      </c>
      <c r="V43" s="48">
        <f t="shared" si="5"/>
        <v>11725</v>
      </c>
      <c r="W43" s="48">
        <f t="shared" si="5"/>
        <v>1582</v>
      </c>
      <c r="X43" s="48">
        <f t="shared" si="5"/>
        <v>391</v>
      </c>
      <c r="Y43" s="48">
        <f t="shared" si="5"/>
        <v>0</v>
      </c>
      <c r="Z43" s="48">
        <f t="shared" si="5"/>
        <v>1239</v>
      </c>
      <c r="AA43" s="49">
        <f t="shared" si="5"/>
        <v>14937</v>
      </c>
      <c r="AB43" s="116"/>
    </row>
    <row r="44" spans="1:27" ht="15">
      <c r="A44" s="120">
        <v>40</v>
      </c>
      <c r="B44" s="46">
        <v>910123</v>
      </c>
      <c r="C44" s="47" t="s">
        <v>184</v>
      </c>
      <c r="D44" s="47">
        <f>'7.K.Részletező2'!AT22</f>
        <v>480</v>
      </c>
      <c r="E44" s="47">
        <f>'7.K.Részletező2'!AT28</f>
        <v>130</v>
      </c>
      <c r="F44" s="47">
        <f>'7.K.Részletező2'!AT77</f>
        <v>521</v>
      </c>
      <c r="G44" s="47"/>
      <c r="H44" s="47"/>
      <c r="I44" s="49">
        <f t="shared" si="4"/>
        <v>1131</v>
      </c>
      <c r="J44" s="99"/>
      <c r="K44" s="99"/>
      <c r="L44" s="99"/>
      <c r="M44" s="99"/>
      <c r="N44" s="99"/>
      <c r="O44" s="48">
        <f t="shared" si="3"/>
        <v>0</v>
      </c>
      <c r="P44" s="99"/>
      <c r="Q44" s="99"/>
      <c r="R44" s="99"/>
      <c r="S44" s="99"/>
      <c r="T44" s="99"/>
      <c r="U44" s="48">
        <f t="shared" si="1"/>
        <v>0</v>
      </c>
      <c r="V44" s="48">
        <f t="shared" si="5"/>
        <v>480</v>
      </c>
      <c r="W44" s="48">
        <f t="shared" si="5"/>
        <v>130</v>
      </c>
      <c r="X44" s="48">
        <f t="shared" si="5"/>
        <v>521</v>
      </c>
      <c r="Y44" s="48">
        <f t="shared" si="5"/>
        <v>0</v>
      </c>
      <c r="Z44" s="48">
        <f t="shared" si="5"/>
        <v>0</v>
      </c>
      <c r="AA44" s="49">
        <f t="shared" si="5"/>
        <v>1131</v>
      </c>
    </row>
    <row r="45" spans="1:27" ht="15">
      <c r="A45" s="120">
        <v>41</v>
      </c>
      <c r="B45" s="46">
        <v>910502</v>
      </c>
      <c r="C45" s="47" t="s">
        <v>185</v>
      </c>
      <c r="D45" s="47">
        <f>'7.K.Részletező2'!AU22</f>
        <v>2099</v>
      </c>
      <c r="E45" s="47">
        <f>'7.K.Részletező2'!AU28</f>
        <v>564</v>
      </c>
      <c r="F45" s="47">
        <f>'7.K.Részletező2'!AU77</f>
        <v>9361</v>
      </c>
      <c r="G45" s="47">
        <v>0</v>
      </c>
      <c r="H45" s="47"/>
      <c r="I45" s="49">
        <f t="shared" si="4"/>
        <v>12024</v>
      </c>
      <c r="J45" s="99"/>
      <c r="K45" s="99"/>
      <c r="L45" s="99"/>
      <c r="M45" s="99"/>
      <c r="N45" s="99"/>
      <c r="O45" s="48">
        <f t="shared" si="3"/>
        <v>0</v>
      </c>
      <c r="P45" s="99"/>
      <c r="Q45" s="99"/>
      <c r="R45" s="99"/>
      <c r="S45" s="99"/>
      <c r="T45" s="99"/>
      <c r="U45" s="48">
        <f t="shared" si="1"/>
        <v>0</v>
      </c>
      <c r="V45" s="48">
        <f t="shared" si="5"/>
        <v>2099</v>
      </c>
      <c r="W45" s="48">
        <f t="shared" si="5"/>
        <v>564</v>
      </c>
      <c r="X45" s="48">
        <f t="shared" si="5"/>
        <v>9361</v>
      </c>
      <c r="Y45" s="48">
        <f t="shared" si="5"/>
        <v>0</v>
      </c>
      <c r="Z45" s="48">
        <f t="shared" si="5"/>
        <v>0</v>
      </c>
      <c r="AA45" s="49">
        <f t="shared" si="5"/>
        <v>12024</v>
      </c>
    </row>
    <row r="46" spans="1:27" ht="15">
      <c r="A46" s="120">
        <v>42</v>
      </c>
      <c r="B46" s="46">
        <v>932911</v>
      </c>
      <c r="C46" s="47" t="s">
        <v>186</v>
      </c>
      <c r="D46" s="47">
        <f>'[1]5.K kiemelt ei.'!D49</f>
        <v>0</v>
      </c>
      <c r="E46" s="99"/>
      <c r="F46" s="47">
        <f>'7.K.Részletező2'!AV77</f>
        <v>715</v>
      </c>
      <c r="G46" s="99"/>
      <c r="H46" s="47">
        <f>'7.K.Részletező2'!AV120</f>
        <v>367</v>
      </c>
      <c r="I46" s="49">
        <f t="shared" si="4"/>
        <v>1082</v>
      </c>
      <c r="J46" s="99"/>
      <c r="K46" s="99"/>
      <c r="L46" s="99"/>
      <c r="M46" s="99"/>
      <c r="N46" s="99"/>
      <c r="O46" s="48">
        <f t="shared" si="3"/>
        <v>0</v>
      </c>
      <c r="P46" s="99"/>
      <c r="Q46" s="99"/>
      <c r="R46" s="99"/>
      <c r="S46" s="99"/>
      <c r="T46" s="99"/>
      <c r="U46" s="48">
        <f t="shared" si="1"/>
        <v>0</v>
      </c>
      <c r="V46" s="48">
        <f t="shared" si="5"/>
        <v>0</v>
      </c>
      <c r="W46" s="48">
        <f t="shared" si="5"/>
        <v>0</v>
      </c>
      <c r="X46" s="48">
        <f t="shared" si="5"/>
        <v>715</v>
      </c>
      <c r="Y46" s="48">
        <f t="shared" si="5"/>
        <v>0</v>
      </c>
      <c r="Z46" s="48">
        <f t="shared" si="5"/>
        <v>367</v>
      </c>
      <c r="AA46" s="49">
        <f t="shared" si="5"/>
        <v>1082</v>
      </c>
    </row>
    <row r="47" spans="1:27" ht="15">
      <c r="A47" s="120">
        <v>43</v>
      </c>
      <c r="B47" s="46">
        <v>940000</v>
      </c>
      <c r="C47" s="47" t="s">
        <v>187</v>
      </c>
      <c r="D47" s="47">
        <f>'7.K.Részletező2'!AW22</f>
        <v>875</v>
      </c>
      <c r="E47" s="47">
        <f>'7.K.Részletező2'!AW28</f>
        <v>236</v>
      </c>
      <c r="F47" s="47">
        <f>'7.K.Részletező2'!AW77</f>
        <v>324</v>
      </c>
      <c r="G47" s="47"/>
      <c r="H47" s="47">
        <f>'7.K.Részletező2'!AU120</f>
        <v>191</v>
      </c>
      <c r="I47" s="49">
        <f t="shared" si="4"/>
        <v>1626</v>
      </c>
      <c r="J47" s="99"/>
      <c r="K47" s="99"/>
      <c r="L47" s="99"/>
      <c r="M47" s="99"/>
      <c r="N47" s="99"/>
      <c r="O47" s="48">
        <f t="shared" si="3"/>
        <v>0</v>
      </c>
      <c r="P47" s="99"/>
      <c r="Q47" s="99"/>
      <c r="R47" s="99"/>
      <c r="S47" s="99"/>
      <c r="T47" s="99"/>
      <c r="U47" s="48">
        <f t="shared" si="1"/>
        <v>0</v>
      </c>
      <c r="V47" s="48">
        <f t="shared" si="5"/>
        <v>875</v>
      </c>
      <c r="W47" s="48">
        <f t="shared" si="5"/>
        <v>236</v>
      </c>
      <c r="X47" s="48">
        <f t="shared" si="5"/>
        <v>324</v>
      </c>
      <c r="Y47" s="48">
        <f t="shared" si="5"/>
        <v>0</v>
      </c>
      <c r="Z47" s="48">
        <f t="shared" si="5"/>
        <v>191</v>
      </c>
      <c r="AA47" s="49">
        <f t="shared" si="5"/>
        <v>1626</v>
      </c>
    </row>
    <row r="48" spans="1:27" ht="15">
      <c r="A48" s="120">
        <v>44</v>
      </c>
      <c r="B48" s="46">
        <v>960302</v>
      </c>
      <c r="C48" s="47" t="s">
        <v>24</v>
      </c>
      <c r="D48" s="47">
        <f>'7.K.Részletező2'!AX22</f>
        <v>105</v>
      </c>
      <c r="E48" s="47">
        <f>'7.K.Részletező2'!AX28</f>
        <v>29</v>
      </c>
      <c r="F48" s="47">
        <f>'7.K.Részletező2'!AX77</f>
        <v>508</v>
      </c>
      <c r="G48" s="47"/>
      <c r="H48" s="47">
        <f>'7.K.Részletező2'!AX120</f>
        <v>771</v>
      </c>
      <c r="I48" s="49">
        <f t="shared" si="4"/>
        <v>1413</v>
      </c>
      <c r="J48" s="99"/>
      <c r="K48" s="99"/>
      <c r="L48" s="99"/>
      <c r="M48" s="99"/>
      <c r="N48" s="99"/>
      <c r="O48" s="48">
        <f t="shared" si="3"/>
        <v>0</v>
      </c>
      <c r="P48" s="99"/>
      <c r="Q48" s="99"/>
      <c r="R48" s="99"/>
      <c r="S48" s="99"/>
      <c r="T48" s="99"/>
      <c r="U48" s="48">
        <f t="shared" si="1"/>
        <v>0</v>
      </c>
      <c r="V48" s="48">
        <f t="shared" si="5"/>
        <v>105</v>
      </c>
      <c r="W48" s="48">
        <f t="shared" si="5"/>
        <v>29</v>
      </c>
      <c r="X48" s="48">
        <f t="shared" si="5"/>
        <v>508</v>
      </c>
      <c r="Y48" s="48">
        <f t="shared" si="5"/>
        <v>0</v>
      </c>
      <c r="Z48" s="48">
        <f t="shared" si="5"/>
        <v>771</v>
      </c>
      <c r="AA48" s="49">
        <f t="shared" si="5"/>
        <v>1413</v>
      </c>
    </row>
    <row r="49" spans="1:27" ht="15">
      <c r="A49" s="120">
        <v>45</v>
      </c>
      <c r="B49" s="50"/>
      <c r="C49" s="51" t="s">
        <v>59</v>
      </c>
      <c r="D49" s="51">
        <f>SUM(D16:D48)</f>
        <v>81344</v>
      </c>
      <c r="E49" s="51">
        <f>SUM(E16:E48)</f>
        <v>21330</v>
      </c>
      <c r="F49" s="51">
        <f>SUM(F16:F48)</f>
        <v>150301</v>
      </c>
      <c r="G49" s="51">
        <f>SUM(G16:G48)</f>
        <v>0</v>
      </c>
      <c r="H49" s="51">
        <f>SUM(H16:H48)</f>
        <v>15496</v>
      </c>
      <c r="I49" s="49">
        <f>SUM(D49:H49)</f>
        <v>268471</v>
      </c>
      <c r="J49" s="99">
        <f>SUM(J16:J48)</f>
        <v>450</v>
      </c>
      <c r="K49" s="99">
        <f>SUM(K16:K48)</f>
        <v>108</v>
      </c>
      <c r="L49" s="99">
        <f>SUM(L16:L48)</f>
        <v>15319</v>
      </c>
      <c r="M49" s="99">
        <f>SUM(M16:M48)</f>
        <v>4914</v>
      </c>
      <c r="N49" s="99">
        <f>SUM(N16:N48)</f>
        <v>4058</v>
      </c>
      <c r="O49" s="48">
        <f t="shared" si="3"/>
        <v>24849</v>
      </c>
      <c r="P49" s="99">
        <f>SUM(P16:P48)</f>
        <v>0</v>
      </c>
      <c r="Q49" s="99">
        <f>SUM(Q16:Q48)</f>
        <v>0</v>
      </c>
      <c r="R49" s="99">
        <f>SUM(R16:R48)</f>
        <v>0</v>
      </c>
      <c r="S49" s="99">
        <f>SUM(S16:S48)</f>
        <v>0</v>
      </c>
      <c r="T49" s="99">
        <f>SUM(T16:T48)</f>
        <v>0</v>
      </c>
      <c r="U49" s="48">
        <f t="shared" si="1"/>
        <v>0</v>
      </c>
      <c r="V49" s="48">
        <f t="shared" si="5"/>
        <v>81794</v>
      </c>
      <c r="W49" s="48">
        <f t="shared" si="5"/>
        <v>21438</v>
      </c>
      <c r="X49" s="48">
        <f t="shared" si="5"/>
        <v>165620</v>
      </c>
      <c r="Y49" s="48">
        <f t="shared" si="5"/>
        <v>4914</v>
      </c>
      <c r="Z49" s="48">
        <f t="shared" si="5"/>
        <v>19554</v>
      </c>
      <c r="AA49" s="49">
        <f>U49+O49+I49</f>
        <v>293320</v>
      </c>
    </row>
    <row r="50" spans="1:27" ht="15">
      <c r="A50" s="120">
        <v>46</v>
      </c>
      <c r="B50" s="46"/>
      <c r="C50" s="47"/>
      <c r="D50" s="47"/>
      <c r="E50" s="99"/>
      <c r="F50" s="99"/>
      <c r="G50" s="99"/>
      <c r="H50" s="99"/>
      <c r="I50" s="49"/>
      <c r="J50" s="99"/>
      <c r="K50" s="99"/>
      <c r="L50" s="99"/>
      <c r="M50" s="99"/>
      <c r="N50" s="99"/>
      <c r="O50" s="48"/>
      <c r="P50" s="99"/>
      <c r="Q50" s="99"/>
      <c r="R50" s="99"/>
      <c r="S50" s="99"/>
      <c r="T50" s="99"/>
      <c r="U50" s="48"/>
      <c r="V50" s="48"/>
      <c r="W50" s="48"/>
      <c r="X50" s="48"/>
      <c r="Y50" s="48"/>
      <c r="Z50" s="48"/>
      <c r="AA50" s="49"/>
    </row>
    <row r="51" spans="1:27" ht="15">
      <c r="A51" s="120">
        <v>47</v>
      </c>
      <c r="B51" s="46"/>
      <c r="C51" s="51" t="s">
        <v>26</v>
      </c>
      <c r="D51" s="51">
        <f>D49+D12+D9</f>
        <v>121702</v>
      </c>
      <c r="E51" s="51">
        <f aca="true" t="shared" si="6" ref="E51:AA51">E49+E12+E9</f>
        <v>32211</v>
      </c>
      <c r="F51" s="51">
        <f t="shared" si="6"/>
        <v>167535</v>
      </c>
      <c r="G51" s="51">
        <f t="shared" si="6"/>
        <v>29109</v>
      </c>
      <c r="H51" s="51">
        <f t="shared" si="6"/>
        <v>88412</v>
      </c>
      <c r="I51" s="51">
        <f t="shared" si="6"/>
        <v>438969</v>
      </c>
      <c r="J51" s="51">
        <f t="shared" si="6"/>
        <v>450</v>
      </c>
      <c r="K51" s="51">
        <f t="shared" si="6"/>
        <v>108</v>
      </c>
      <c r="L51" s="51">
        <f t="shared" si="6"/>
        <v>15319</v>
      </c>
      <c r="M51" s="51">
        <f t="shared" si="6"/>
        <v>4914</v>
      </c>
      <c r="N51" s="51">
        <f t="shared" si="6"/>
        <v>6058</v>
      </c>
      <c r="O51" s="51">
        <f t="shared" si="6"/>
        <v>26849</v>
      </c>
      <c r="P51" s="51">
        <f t="shared" si="6"/>
        <v>0</v>
      </c>
      <c r="Q51" s="51">
        <f t="shared" si="6"/>
        <v>0</v>
      </c>
      <c r="R51" s="51">
        <f t="shared" si="6"/>
        <v>0</v>
      </c>
      <c r="S51" s="51">
        <f t="shared" si="6"/>
        <v>24064</v>
      </c>
      <c r="T51" s="51">
        <f t="shared" si="6"/>
        <v>0</v>
      </c>
      <c r="U51" s="51">
        <f t="shared" si="6"/>
        <v>24064</v>
      </c>
      <c r="V51" s="51">
        <f t="shared" si="6"/>
        <v>122152</v>
      </c>
      <c r="W51" s="51">
        <f t="shared" si="6"/>
        <v>32319</v>
      </c>
      <c r="X51" s="51">
        <f t="shared" si="6"/>
        <v>182854</v>
      </c>
      <c r="Y51" s="51">
        <f t="shared" si="6"/>
        <v>58087</v>
      </c>
      <c r="Z51" s="51">
        <f t="shared" si="6"/>
        <v>94470</v>
      </c>
      <c r="AA51" s="51">
        <f t="shared" si="6"/>
        <v>489882</v>
      </c>
    </row>
  </sheetData>
  <sheetProtection/>
  <mergeCells count="6">
    <mergeCell ref="V5:AA5"/>
    <mergeCell ref="A1:G1"/>
    <mergeCell ref="B3:C3"/>
    <mergeCell ref="E5:I5"/>
    <mergeCell ref="J5:O5"/>
    <mergeCell ref="P5:U5"/>
  </mergeCells>
  <printOptions/>
  <pageMargins left="0.7" right="0.7" top="0.75" bottom="0.75" header="0.3" footer="0.3"/>
  <pageSetup horizontalDpi="300" verticalDpi="3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Z121"/>
  <sheetViews>
    <sheetView zoomScale="79" zoomScaleNormal="79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30" sqref="C130"/>
    </sheetView>
  </sheetViews>
  <sheetFormatPr defaultColWidth="10.8515625" defaultRowHeight="15"/>
  <cols>
    <col min="1" max="2" width="10.8515625" style="11" customWidth="1"/>
    <col min="3" max="3" width="37.8515625" style="11" customWidth="1"/>
    <col min="4" max="4" width="10.00390625" style="262" customWidth="1"/>
    <col min="5" max="6" width="7.7109375" style="113" customWidth="1"/>
    <col min="7" max="7" width="8.140625" style="113" customWidth="1"/>
    <col min="8" max="8" width="7.57421875" style="113" customWidth="1"/>
    <col min="9" max="9" width="7.140625" style="113" customWidth="1"/>
    <col min="10" max="12" width="9.140625" style="113" customWidth="1"/>
    <col min="13" max="13" width="9.140625" style="262" customWidth="1"/>
    <col min="14" max="14" width="9.140625" style="113" customWidth="1"/>
    <col min="15" max="15" width="9.140625" style="217" customWidth="1"/>
    <col min="16" max="16" width="9.140625" style="314" customWidth="1"/>
    <col min="17" max="50" width="9.140625" style="113" customWidth="1"/>
    <col min="51" max="51" width="9.140625" style="314" customWidth="1"/>
    <col min="52" max="244" width="9.140625" style="11" customWidth="1"/>
    <col min="245" max="16384" width="10.8515625" style="11" customWidth="1"/>
  </cols>
  <sheetData>
    <row r="1" spans="1:2" ht="15">
      <c r="A1" s="376" t="s">
        <v>857</v>
      </c>
      <c r="B1" s="377"/>
    </row>
    <row r="2" spans="2:4" ht="18">
      <c r="B2" s="200"/>
      <c r="C2" s="200"/>
      <c r="D2" s="281"/>
    </row>
    <row r="3" spans="2:52" ht="15.75" thickBot="1">
      <c r="B3" s="53" t="s">
        <v>27</v>
      </c>
      <c r="C3" s="53" t="s">
        <v>28</v>
      </c>
      <c r="D3" s="263" t="s">
        <v>29</v>
      </c>
      <c r="E3" s="53" t="s">
        <v>30</v>
      </c>
      <c r="F3" s="53" t="s">
        <v>31</v>
      </c>
      <c r="G3" s="53" t="s">
        <v>105</v>
      </c>
      <c r="H3" s="53" t="s">
        <v>60</v>
      </c>
      <c r="I3" s="53" t="s">
        <v>61</v>
      </c>
      <c r="J3" s="53" t="s">
        <v>62</v>
      </c>
      <c r="K3" s="53" t="s">
        <v>63</v>
      </c>
      <c r="L3" s="53" t="s">
        <v>64</v>
      </c>
      <c r="M3" s="263" t="s">
        <v>65</v>
      </c>
      <c r="N3" s="53" t="s">
        <v>66</v>
      </c>
      <c r="O3" s="218" t="s">
        <v>67</v>
      </c>
      <c r="P3" s="320" t="s">
        <v>146</v>
      </c>
      <c r="Q3" s="53" t="s">
        <v>68</v>
      </c>
      <c r="R3" s="53" t="s">
        <v>147</v>
      </c>
      <c r="S3" s="53" t="s">
        <v>69</v>
      </c>
      <c r="T3" s="53" t="s">
        <v>70</v>
      </c>
      <c r="U3" s="53" t="s">
        <v>71</v>
      </c>
      <c r="V3" s="53" t="s">
        <v>72</v>
      </c>
      <c r="W3" s="53" t="s">
        <v>73</v>
      </c>
      <c r="X3" s="53" t="s">
        <v>74</v>
      </c>
      <c r="Y3" s="53" t="s">
        <v>75</v>
      </c>
      <c r="Z3" s="53" t="s">
        <v>76</v>
      </c>
      <c r="AA3" s="53" t="s">
        <v>77</v>
      </c>
      <c r="AB3" s="53" t="s">
        <v>307</v>
      </c>
      <c r="AC3" s="53" t="s">
        <v>188</v>
      </c>
      <c r="AD3" s="53" t="s">
        <v>189</v>
      </c>
      <c r="AE3" s="53" t="s">
        <v>190</v>
      </c>
      <c r="AF3" s="53" t="s">
        <v>191</v>
      </c>
      <c r="AG3" s="53" t="s">
        <v>192</v>
      </c>
      <c r="AH3" s="53" t="s">
        <v>308</v>
      </c>
      <c r="AI3" s="53" t="s">
        <v>309</v>
      </c>
      <c r="AJ3" s="53" t="s">
        <v>310</v>
      </c>
      <c r="AK3" s="53" t="s">
        <v>311</v>
      </c>
      <c r="AL3" s="53" t="s">
        <v>312</v>
      </c>
      <c r="AM3" s="53" t="s">
        <v>313</v>
      </c>
      <c r="AN3" s="53" t="s">
        <v>314</v>
      </c>
      <c r="AO3" s="53" t="s">
        <v>315</v>
      </c>
      <c r="AP3" s="53" t="s">
        <v>316</v>
      </c>
      <c r="AQ3" s="53" t="s">
        <v>193</v>
      </c>
      <c r="AR3" s="53" t="s">
        <v>194</v>
      </c>
      <c r="AS3" s="53" t="s">
        <v>195</v>
      </c>
      <c r="AT3" s="53" t="s">
        <v>317</v>
      </c>
      <c r="AU3" s="53" t="s">
        <v>196</v>
      </c>
      <c r="AV3" s="53" t="s">
        <v>197</v>
      </c>
      <c r="AW3" s="53" t="s">
        <v>198</v>
      </c>
      <c r="AX3" s="53" t="s">
        <v>199</v>
      </c>
      <c r="AY3" s="315" t="s">
        <v>200</v>
      </c>
      <c r="AZ3" s="313" t="s">
        <v>201</v>
      </c>
    </row>
    <row r="4" spans="1:52" ht="57.75" thickBot="1">
      <c r="A4" t="s">
        <v>535</v>
      </c>
      <c r="B4" s="136"/>
      <c r="C4" s="137" t="s">
        <v>353</v>
      </c>
      <c r="D4" s="264" t="s">
        <v>536</v>
      </c>
      <c r="E4" s="56" t="s">
        <v>202</v>
      </c>
      <c r="F4" s="56" t="s">
        <v>825</v>
      </c>
      <c r="G4" s="56" t="s">
        <v>203</v>
      </c>
      <c r="H4" s="56" t="s">
        <v>204</v>
      </c>
      <c r="I4" s="56" t="s">
        <v>568</v>
      </c>
      <c r="J4" s="56" t="s">
        <v>569</v>
      </c>
      <c r="K4" s="56" t="s">
        <v>570</v>
      </c>
      <c r="L4" s="56" t="s">
        <v>571</v>
      </c>
      <c r="M4" s="264" t="s">
        <v>205</v>
      </c>
      <c r="N4" s="56" t="s">
        <v>348</v>
      </c>
      <c r="O4" s="219" t="s">
        <v>206</v>
      </c>
      <c r="P4" s="316" t="s">
        <v>573</v>
      </c>
      <c r="Q4" s="56" t="s">
        <v>574</v>
      </c>
      <c r="R4" s="56" t="s">
        <v>575</v>
      </c>
      <c r="S4" s="56" t="s">
        <v>576</v>
      </c>
      <c r="T4" s="56" t="s">
        <v>577</v>
      </c>
      <c r="U4" s="56" t="s">
        <v>578</v>
      </c>
      <c r="V4" s="56" t="s">
        <v>580</v>
      </c>
      <c r="W4" s="56" t="s">
        <v>579</v>
      </c>
      <c r="X4" s="56" t="s">
        <v>581</v>
      </c>
      <c r="Y4" s="56" t="s">
        <v>582</v>
      </c>
      <c r="Z4" s="56" t="s">
        <v>583</v>
      </c>
      <c r="AA4" s="56" t="s">
        <v>584</v>
      </c>
      <c r="AB4" s="56" t="s">
        <v>585</v>
      </c>
      <c r="AC4" s="56" t="s">
        <v>586</v>
      </c>
      <c r="AD4" s="56" t="s">
        <v>588</v>
      </c>
      <c r="AE4" s="56" t="s">
        <v>589</v>
      </c>
      <c r="AF4" s="56" t="s">
        <v>590</v>
      </c>
      <c r="AG4" s="56" t="s">
        <v>591</v>
      </c>
      <c r="AH4" s="56" t="s">
        <v>592</v>
      </c>
      <c r="AI4" s="56" t="s">
        <v>593</v>
      </c>
      <c r="AJ4" s="56" t="s">
        <v>594</v>
      </c>
      <c r="AK4" s="56" t="s">
        <v>595</v>
      </c>
      <c r="AL4" s="56" t="s">
        <v>207</v>
      </c>
      <c r="AM4" s="56" t="s">
        <v>596</v>
      </c>
      <c r="AN4" s="56" t="s">
        <v>597</v>
      </c>
      <c r="AO4" s="56" t="s">
        <v>598</v>
      </c>
      <c r="AP4" s="56" t="s">
        <v>599</v>
      </c>
      <c r="AQ4" s="56" t="s">
        <v>600</v>
      </c>
      <c r="AR4" s="56" t="s">
        <v>601</v>
      </c>
      <c r="AS4" s="56" t="s">
        <v>602</v>
      </c>
      <c r="AT4" s="56" t="s">
        <v>603</v>
      </c>
      <c r="AU4" s="56" t="s">
        <v>604</v>
      </c>
      <c r="AV4" s="56" t="s">
        <v>605</v>
      </c>
      <c r="AW4" s="56" t="s">
        <v>606</v>
      </c>
      <c r="AX4" s="56" t="s">
        <v>208</v>
      </c>
      <c r="AY4" s="316" t="s">
        <v>209</v>
      </c>
      <c r="AZ4" s="57" t="s">
        <v>210</v>
      </c>
    </row>
    <row r="5" spans="1:52" ht="15">
      <c r="A5" s="54">
        <v>1</v>
      </c>
      <c r="B5" s="140" t="s">
        <v>354</v>
      </c>
      <c r="C5" s="141" t="s">
        <v>355</v>
      </c>
      <c r="D5" s="282">
        <f>'[2]841112_011130'!$E$6</f>
        <v>0</v>
      </c>
      <c r="E5" s="134"/>
      <c r="F5" s="134"/>
      <c r="G5" s="134"/>
      <c r="H5" s="134"/>
      <c r="I5" s="134"/>
      <c r="J5" s="134"/>
      <c r="K5" s="134"/>
      <c r="L5" s="134"/>
      <c r="M5" s="265"/>
      <c r="N5" s="134"/>
      <c r="O5" s="220">
        <f>SUM(D5:N5)</f>
        <v>0</v>
      </c>
      <c r="P5" s="317">
        <v>24931</v>
      </c>
      <c r="Q5" s="134"/>
      <c r="R5" s="134">
        <f>'[3]381103_051030'!$E$6</f>
        <v>4623</v>
      </c>
      <c r="S5" s="134">
        <v>3257</v>
      </c>
      <c r="T5" s="134"/>
      <c r="U5" s="134">
        <v>6995</v>
      </c>
      <c r="V5" s="134"/>
      <c r="W5" s="134"/>
      <c r="X5" s="134"/>
      <c r="Y5" s="134"/>
      <c r="Z5" s="134"/>
      <c r="AA5" s="134"/>
      <c r="AB5" s="134">
        <f>'[3]811000_013350'!$E$6</f>
        <v>4623</v>
      </c>
      <c r="AC5" s="134">
        <v>10092</v>
      </c>
      <c r="AD5" s="134">
        <v>11075</v>
      </c>
      <c r="AE5" s="134"/>
      <c r="AF5" s="134">
        <f>'[3]841403_066020'!$E$6</f>
        <v>771</v>
      </c>
      <c r="AG5" s="134"/>
      <c r="AH5" s="134"/>
      <c r="AI5" s="134">
        <f>'[3]862101_072111'!$E$6</f>
        <v>2125</v>
      </c>
      <c r="AJ5" s="134"/>
      <c r="AK5" s="134"/>
      <c r="AL5" s="134"/>
      <c r="AM5" s="134">
        <v>1702</v>
      </c>
      <c r="AN5" s="134"/>
      <c r="AO5" s="134"/>
      <c r="AP5" s="134">
        <f>'[3]889928_107055'!$E$6</f>
        <v>1540</v>
      </c>
      <c r="AQ5" s="134"/>
      <c r="AR5" s="134">
        <v>8822</v>
      </c>
      <c r="AS5" s="134">
        <f>'[3]890444_041231'!$E$6</f>
        <v>2771</v>
      </c>
      <c r="AT5" s="134"/>
      <c r="AU5" s="134">
        <f>'[3]910502_082902'!$E$6</f>
        <v>1326</v>
      </c>
      <c r="AV5" s="134"/>
      <c r="AW5" s="134"/>
      <c r="AX5" s="134"/>
      <c r="AY5" s="317">
        <f>SUM(Q5:AX5)</f>
        <v>59722</v>
      </c>
      <c r="AZ5" s="15">
        <f>O5+P5+AY5</f>
        <v>84653</v>
      </c>
    </row>
    <row r="6" spans="1:52" ht="15">
      <c r="A6" s="55">
        <v>2</v>
      </c>
      <c r="B6" s="142" t="s">
        <v>356</v>
      </c>
      <c r="C6" s="143" t="s">
        <v>357</v>
      </c>
      <c r="D6" s="282">
        <f>'[2]841112_011130'!$E$6</f>
        <v>0</v>
      </c>
      <c r="E6" s="134"/>
      <c r="F6" s="134"/>
      <c r="G6" s="134"/>
      <c r="H6" s="134"/>
      <c r="I6" s="134"/>
      <c r="J6" s="134"/>
      <c r="K6" s="134"/>
      <c r="L6" s="134"/>
      <c r="M6" s="265"/>
      <c r="N6" s="134"/>
      <c r="O6" s="220">
        <f aca="true" t="shared" si="0" ref="O6:O69">SUM(D6:N6)</f>
        <v>0</v>
      </c>
      <c r="P6" s="317">
        <f>'[3]851011_091110'!$E$7</f>
        <v>1235</v>
      </c>
      <c r="Q6" s="134"/>
      <c r="R6" s="134"/>
      <c r="S6" s="134"/>
      <c r="T6" s="134"/>
      <c r="U6" s="134">
        <f>'[3]562913_096020'!$E$7</f>
        <v>360</v>
      </c>
      <c r="V6" s="134"/>
      <c r="W6" s="134"/>
      <c r="X6" s="134"/>
      <c r="Y6" s="134"/>
      <c r="Z6" s="134"/>
      <c r="AA6" s="134"/>
      <c r="AB6" s="134"/>
      <c r="AC6" s="134">
        <f>'[3]813000_066010'!$E$7</f>
        <v>480</v>
      </c>
      <c r="AD6" s="134">
        <f>'[3]841154_013350'!$E$7</f>
        <v>720</v>
      </c>
      <c r="AE6" s="134"/>
      <c r="AF6" s="134"/>
      <c r="AG6" s="134"/>
      <c r="AH6" s="134"/>
      <c r="AI6" s="134"/>
      <c r="AJ6" s="134"/>
      <c r="AK6" s="134"/>
      <c r="AL6" s="134"/>
      <c r="AM6" s="134">
        <f>'[3]869041_074031'!$E$7</f>
        <v>0</v>
      </c>
      <c r="AN6" s="134"/>
      <c r="AO6" s="134"/>
      <c r="AP6" s="134">
        <f>'[3]889928_107055'!$E$7</f>
        <v>0</v>
      </c>
      <c r="AQ6" s="134"/>
      <c r="AR6" s="134"/>
      <c r="AS6" s="134"/>
      <c r="AT6" s="134"/>
      <c r="AU6" s="134"/>
      <c r="AV6" s="134"/>
      <c r="AW6" s="134"/>
      <c r="AX6" s="134"/>
      <c r="AY6" s="317">
        <f aca="true" t="shared" si="1" ref="AY6:AY69">SUM(Q6:AX6)</f>
        <v>1560</v>
      </c>
      <c r="AZ6" s="15">
        <f aca="true" t="shared" si="2" ref="AZ6:AZ69">O6+P6+AY6</f>
        <v>2795</v>
      </c>
    </row>
    <row r="7" spans="1:52" ht="15">
      <c r="A7" s="54">
        <v>3</v>
      </c>
      <c r="B7" s="142" t="s">
        <v>358</v>
      </c>
      <c r="C7" s="143" t="s">
        <v>359</v>
      </c>
      <c r="D7" s="282">
        <f>'[2]841112_011130'!$E$6</f>
        <v>0</v>
      </c>
      <c r="E7" s="134"/>
      <c r="F7" s="134"/>
      <c r="G7" s="134"/>
      <c r="H7" s="134"/>
      <c r="I7" s="134"/>
      <c r="J7" s="134"/>
      <c r="K7" s="134"/>
      <c r="L7" s="134"/>
      <c r="M7" s="265"/>
      <c r="N7" s="134"/>
      <c r="O7" s="220">
        <f t="shared" si="0"/>
        <v>0</v>
      </c>
      <c r="P7" s="317">
        <v>215</v>
      </c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>
        <f>'[3]862101_072111'!$E$8</f>
        <v>240</v>
      </c>
      <c r="AJ7" s="134"/>
      <c r="AK7" s="134"/>
      <c r="AL7" s="134"/>
      <c r="AM7" s="134">
        <f>'[3]869041_074031'!$E$8</f>
        <v>419</v>
      </c>
      <c r="AN7" s="134"/>
      <c r="AO7" s="134"/>
      <c r="AP7" s="134">
        <v>298</v>
      </c>
      <c r="AQ7" s="134"/>
      <c r="AR7" s="134"/>
      <c r="AS7" s="134"/>
      <c r="AT7" s="134"/>
      <c r="AU7" s="134"/>
      <c r="AV7" s="134"/>
      <c r="AW7" s="134"/>
      <c r="AX7" s="134"/>
      <c r="AY7" s="317">
        <f t="shared" si="1"/>
        <v>957</v>
      </c>
      <c r="AZ7" s="15">
        <f t="shared" si="2"/>
        <v>1172</v>
      </c>
    </row>
    <row r="8" spans="1:52" ht="15">
      <c r="A8" s="54">
        <v>4</v>
      </c>
      <c r="B8" s="142" t="s">
        <v>360</v>
      </c>
      <c r="C8" s="143" t="s">
        <v>587</v>
      </c>
      <c r="D8" s="282">
        <f>'[2]841112_011130'!$E$6</f>
        <v>0</v>
      </c>
      <c r="E8" s="134"/>
      <c r="F8" s="134"/>
      <c r="G8" s="134"/>
      <c r="H8" s="134"/>
      <c r="I8" s="134"/>
      <c r="J8" s="134"/>
      <c r="K8" s="134"/>
      <c r="L8" s="134"/>
      <c r="M8" s="265"/>
      <c r="N8" s="134"/>
      <c r="O8" s="220">
        <f t="shared" si="0"/>
        <v>0</v>
      </c>
      <c r="P8" s="317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>
        <f>'[3]813000_066010'!$E$9</f>
        <v>1700</v>
      </c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>
        <f>'[3]889928_107055'!$E$9</f>
        <v>0</v>
      </c>
      <c r="AQ8" s="134"/>
      <c r="AR8" s="134"/>
      <c r="AS8" s="134"/>
      <c r="AT8" s="134"/>
      <c r="AU8" s="134"/>
      <c r="AV8" s="134"/>
      <c r="AW8" s="134"/>
      <c r="AX8" s="134"/>
      <c r="AY8" s="317">
        <f t="shared" si="1"/>
        <v>1700</v>
      </c>
      <c r="AZ8" s="15">
        <f t="shared" si="2"/>
        <v>1700</v>
      </c>
    </row>
    <row r="9" spans="1:52" ht="15">
      <c r="A9" s="54">
        <v>5</v>
      </c>
      <c r="B9" s="142" t="s">
        <v>361</v>
      </c>
      <c r="C9" s="144" t="s">
        <v>362</v>
      </c>
      <c r="D9" s="282">
        <f>'[2]841112_011130'!$E$6</f>
        <v>0</v>
      </c>
      <c r="E9" s="134"/>
      <c r="F9" s="134"/>
      <c r="G9" s="134"/>
      <c r="H9" s="134"/>
      <c r="I9" s="134"/>
      <c r="J9" s="134"/>
      <c r="K9" s="134"/>
      <c r="L9" s="134"/>
      <c r="M9" s="265"/>
      <c r="N9" s="134"/>
      <c r="O9" s="220">
        <f t="shared" si="0"/>
        <v>0</v>
      </c>
      <c r="P9" s="317">
        <f>'[3]851011_091110'!$E$10</f>
        <v>200</v>
      </c>
      <c r="Q9" s="134"/>
      <c r="R9" s="134"/>
      <c r="S9" s="134"/>
      <c r="T9" s="134"/>
      <c r="U9" s="134">
        <f>'[3]562913_096020'!$E$10</f>
        <v>200</v>
      </c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>
        <f>'[3]889928_107055'!$E$10</f>
        <v>0</v>
      </c>
      <c r="AQ9" s="134"/>
      <c r="AR9" s="134"/>
      <c r="AS9" s="134"/>
      <c r="AT9" s="134"/>
      <c r="AU9" s="134"/>
      <c r="AV9" s="134"/>
      <c r="AW9" s="134"/>
      <c r="AX9" s="134"/>
      <c r="AY9" s="317">
        <f t="shared" si="1"/>
        <v>200</v>
      </c>
      <c r="AZ9" s="15">
        <f t="shared" si="2"/>
        <v>400</v>
      </c>
    </row>
    <row r="10" spans="1:52" ht="15">
      <c r="A10" s="54">
        <v>6</v>
      </c>
      <c r="B10" s="142" t="s">
        <v>363</v>
      </c>
      <c r="C10" s="144" t="s">
        <v>364</v>
      </c>
      <c r="D10" s="282">
        <f>'[2]841112_011130'!$E$6</f>
        <v>0</v>
      </c>
      <c r="E10" s="134"/>
      <c r="F10" s="134"/>
      <c r="G10" s="134"/>
      <c r="H10" s="134"/>
      <c r="I10" s="134"/>
      <c r="J10" s="134"/>
      <c r="K10" s="134"/>
      <c r="L10" s="134"/>
      <c r="M10" s="265"/>
      <c r="N10" s="134"/>
      <c r="O10" s="220">
        <f t="shared" si="0"/>
        <v>0</v>
      </c>
      <c r="P10" s="317">
        <f>'[3]851011_091110'!$E$11</f>
        <v>1655</v>
      </c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>
        <f>'[3]841154_013350'!$E$11</f>
        <v>1598</v>
      </c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317">
        <f t="shared" si="1"/>
        <v>1598</v>
      </c>
      <c r="AZ10" s="15">
        <f t="shared" si="2"/>
        <v>3253</v>
      </c>
    </row>
    <row r="11" spans="1:52" ht="15">
      <c r="A11" s="55">
        <v>7</v>
      </c>
      <c r="B11" s="142" t="s">
        <v>365</v>
      </c>
      <c r="C11" s="145" t="s">
        <v>366</v>
      </c>
      <c r="D11" s="282">
        <f>'[2]841112_011130'!$E$6</f>
        <v>0</v>
      </c>
      <c r="E11" s="134"/>
      <c r="F11" s="134"/>
      <c r="G11" s="134"/>
      <c r="H11" s="134"/>
      <c r="I11" s="134"/>
      <c r="J11" s="134"/>
      <c r="K11" s="134"/>
      <c r="L11" s="134"/>
      <c r="M11" s="265"/>
      <c r="N11" s="134"/>
      <c r="O11" s="220">
        <f t="shared" si="0"/>
        <v>0</v>
      </c>
      <c r="P11" s="317">
        <f>'[3]851011_091110'!$E$12</f>
        <v>576</v>
      </c>
      <c r="Q11" s="134"/>
      <c r="R11" s="134">
        <f>'[3]381103_051030'!$E$12</f>
        <v>96</v>
      </c>
      <c r="S11" s="134">
        <f>'[3]522000_045160'!$E$12</f>
        <v>96</v>
      </c>
      <c r="T11" s="134"/>
      <c r="U11" s="134"/>
      <c r="V11" s="134"/>
      <c r="W11" s="134"/>
      <c r="X11" s="134"/>
      <c r="Y11" s="134"/>
      <c r="Z11" s="134"/>
      <c r="AA11" s="134"/>
      <c r="AB11" s="134">
        <f>'[3]811000_013350'!$E$12</f>
        <v>288</v>
      </c>
      <c r="AC11" s="134">
        <f>'[3]813000_066010'!$E$12</f>
        <v>384</v>
      </c>
      <c r="AD11" s="134">
        <f>'[3]841154_013350'!$E$12</f>
        <v>75</v>
      </c>
      <c r="AE11" s="134"/>
      <c r="AF11" s="134">
        <f>'[3]841403_066020'!$E$12</f>
        <v>75</v>
      </c>
      <c r="AG11" s="134"/>
      <c r="AH11" s="134"/>
      <c r="AI11" s="134">
        <f>'[3]862101_072111'!$E$12</f>
        <v>96</v>
      </c>
      <c r="AJ11" s="134"/>
      <c r="AK11" s="134"/>
      <c r="AL11" s="134"/>
      <c r="AM11" s="134">
        <f>'[3]869041_074031'!$E$12</f>
        <v>0</v>
      </c>
      <c r="AN11" s="134"/>
      <c r="AO11" s="134"/>
      <c r="AP11" s="134"/>
      <c r="AQ11" s="134"/>
      <c r="AR11" s="134">
        <v>64</v>
      </c>
      <c r="AS11" s="134"/>
      <c r="AT11" s="134"/>
      <c r="AU11" s="134">
        <f>'[3]910502_082902'!$E$12</f>
        <v>96</v>
      </c>
      <c r="AV11" s="134"/>
      <c r="AW11" s="134"/>
      <c r="AX11" s="134"/>
      <c r="AY11" s="317">
        <f t="shared" si="1"/>
        <v>1270</v>
      </c>
      <c r="AZ11" s="15">
        <f t="shared" si="2"/>
        <v>1846</v>
      </c>
    </row>
    <row r="12" spans="1:52" ht="15">
      <c r="A12" s="54">
        <v>8</v>
      </c>
      <c r="B12" s="142" t="s">
        <v>367</v>
      </c>
      <c r="C12" s="145" t="s">
        <v>368</v>
      </c>
      <c r="D12" s="282">
        <f>'[2]841112_011130'!$E$6</f>
        <v>0</v>
      </c>
      <c r="E12" s="134"/>
      <c r="F12" s="134"/>
      <c r="G12" s="134"/>
      <c r="H12" s="134"/>
      <c r="I12" s="134"/>
      <c r="J12" s="134"/>
      <c r="K12" s="134"/>
      <c r="L12" s="134"/>
      <c r="M12" s="265"/>
      <c r="N12" s="134"/>
      <c r="O12" s="220">
        <f t="shared" si="0"/>
        <v>0</v>
      </c>
      <c r="P12" s="317">
        <f>'[3]851011_091110'!$E$13</f>
        <v>924</v>
      </c>
      <c r="Q12" s="134"/>
      <c r="R12" s="134">
        <f>'[3]381103_051030'!$E$13</f>
        <v>354</v>
      </c>
      <c r="S12" s="134">
        <f>'[3]522000_045160'!$E$13</f>
        <v>204</v>
      </c>
      <c r="T12" s="134"/>
      <c r="U12" s="134">
        <f>'[3]562913_096020'!$E$13</f>
        <v>600</v>
      </c>
      <c r="V12" s="134"/>
      <c r="W12" s="134"/>
      <c r="X12" s="134"/>
      <c r="Y12" s="134"/>
      <c r="Z12" s="134"/>
      <c r="AA12" s="134"/>
      <c r="AB12" s="134">
        <f>'[3]811000_013350'!$E$13</f>
        <v>162</v>
      </c>
      <c r="AC12" s="134">
        <f>'[3]813000_066010'!$E$13</f>
        <v>516</v>
      </c>
      <c r="AD12" s="134">
        <f>'[3]841154_013350'!$E$13</f>
        <v>825</v>
      </c>
      <c r="AE12" s="134"/>
      <c r="AF12" s="134"/>
      <c r="AG12" s="134"/>
      <c r="AH12" s="134"/>
      <c r="AI12" s="134">
        <f>'[3]862101_072111'!$E$13</f>
        <v>54</v>
      </c>
      <c r="AJ12" s="134"/>
      <c r="AK12" s="134"/>
      <c r="AL12" s="134"/>
      <c r="AM12" s="134">
        <f>'[3]869041_074031'!$E$13</f>
        <v>150</v>
      </c>
      <c r="AN12" s="134"/>
      <c r="AO12" s="134"/>
      <c r="AP12" s="134">
        <f>'[3]889928_107055'!$E$13</f>
        <v>150</v>
      </c>
      <c r="AQ12" s="134"/>
      <c r="AR12" s="134"/>
      <c r="AS12" s="134"/>
      <c r="AT12" s="134"/>
      <c r="AU12" s="134">
        <f>'[3]910502_082902'!$E$13</f>
        <v>54</v>
      </c>
      <c r="AV12" s="134"/>
      <c r="AW12" s="134"/>
      <c r="AX12" s="134"/>
      <c r="AY12" s="317">
        <f t="shared" si="1"/>
        <v>3069</v>
      </c>
      <c r="AZ12" s="15">
        <f t="shared" si="2"/>
        <v>3993</v>
      </c>
    </row>
    <row r="13" spans="1:52" ht="15">
      <c r="A13" s="54">
        <v>9</v>
      </c>
      <c r="B13" s="142" t="s">
        <v>369</v>
      </c>
      <c r="C13" s="143" t="s">
        <v>370</v>
      </c>
      <c r="D13" s="282">
        <v>26</v>
      </c>
      <c r="E13" s="134"/>
      <c r="F13" s="134"/>
      <c r="G13" s="134">
        <f>'[2]841403_066020'!$E$13</f>
        <v>48</v>
      </c>
      <c r="H13" s="134"/>
      <c r="I13" s="134"/>
      <c r="J13" s="134"/>
      <c r="K13" s="134"/>
      <c r="L13" s="134"/>
      <c r="M13" s="265"/>
      <c r="N13" s="134"/>
      <c r="O13" s="220">
        <f t="shared" si="0"/>
        <v>74</v>
      </c>
      <c r="P13" s="317">
        <v>443</v>
      </c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>
        <v>35</v>
      </c>
      <c r="AD13" s="134">
        <v>110</v>
      </c>
      <c r="AE13" s="134"/>
      <c r="AF13" s="134"/>
      <c r="AG13" s="134"/>
      <c r="AH13" s="134"/>
      <c r="AI13" s="134">
        <v>60</v>
      </c>
      <c r="AJ13" s="134"/>
      <c r="AK13" s="134"/>
      <c r="AL13" s="134"/>
      <c r="AM13" s="134">
        <f>'[3]869041_074031'!$E$14</f>
        <v>160</v>
      </c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317">
        <f t="shared" si="1"/>
        <v>365</v>
      </c>
      <c r="AZ13" s="15">
        <f t="shared" si="2"/>
        <v>882</v>
      </c>
    </row>
    <row r="14" spans="1:52" ht="15">
      <c r="A14" s="54">
        <v>10</v>
      </c>
      <c r="B14" s="142" t="s">
        <v>371</v>
      </c>
      <c r="C14" s="143" t="s">
        <v>826</v>
      </c>
      <c r="D14" s="282">
        <f>'[2]841112_011130'!$E$6</f>
        <v>0</v>
      </c>
      <c r="E14" s="134"/>
      <c r="F14" s="134"/>
      <c r="G14" s="134"/>
      <c r="H14" s="134"/>
      <c r="I14" s="134"/>
      <c r="J14" s="134"/>
      <c r="K14" s="134"/>
      <c r="L14" s="134"/>
      <c r="M14" s="265"/>
      <c r="N14" s="134"/>
      <c r="O14" s="220">
        <f t="shared" si="0"/>
        <v>0</v>
      </c>
      <c r="P14" s="317">
        <v>962</v>
      </c>
      <c r="Q14" s="134"/>
      <c r="R14" s="134">
        <v>164</v>
      </c>
      <c r="S14" s="134">
        <v>170</v>
      </c>
      <c r="T14" s="134"/>
      <c r="U14" s="134">
        <v>174</v>
      </c>
      <c r="V14" s="134"/>
      <c r="W14" s="134"/>
      <c r="X14" s="134"/>
      <c r="Y14" s="134"/>
      <c r="Z14" s="134"/>
      <c r="AA14" s="134"/>
      <c r="AB14" s="134">
        <v>137</v>
      </c>
      <c r="AC14" s="134">
        <v>116</v>
      </c>
      <c r="AD14" s="134">
        <v>1221</v>
      </c>
      <c r="AE14" s="134"/>
      <c r="AF14" s="134"/>
      <c r="AG14" s="134"/>
      <c r="AH14" s="134"/>
      <c r="AI14" s="134">
        <v>109</v>
      </c>
      <c r="AJ14" s="134"/>
      <c r="AK14" s="134"/>
      <c r="AL14" s="134"/>
      <c r="AM14" s="134">
        <f>'[3]869041_074031'!$E$15</f>
        <v>10</v>
      </c>
      <c r="AN14" s="134"/>
      <c r="AO14" s="134"/>
      <c r="AP14" s="134">
        <v>55</v>
      </c>
      <c r="AQ14" s="134"/>
      <c r="AR14" s="134">
        <v>68</v>
      </c>
      <c r="AS14" s="134"/>
      <c r="AT14" s="134"/>
      <c r="AU14" s="134">
        <v>116</v>
      </c>
      <c r="AV14" s="134"/>
      <c r="AW14" s="134"/>
      <c r="AX14" s="134"/>
      <c r="AY14" s="317">
        <f t="shared" si="1"/>
        <v>2340</v>
      </c>
      <c r="AZ14" s="15">
        <f t="shared" si="2"/>
        <v>3302</v>
      </c>
    </row>
    <row r="15" spans="1:52" ht="15.75" thickBot="1">
      <c r="A15" s="54">
        <v>11</v>
      </c>
      <c r="B15" s="146" t="s">
        <v>372</v>
      </c>
      <c r="C15" s="147" t="s">
        <v>373</v>
      </c>
      <c r="D15" s="282">
        <f>'[2]841112_011130'!$E$6</f>
        <v>0</v>
      </c>
      <c r="E15" s="134"/>
      <c r="F15" s="134"/>
      <c r="G15" s="134"/>
      <c r="H15" s="134"/>
      <c r="I15" s="134"/>
      <c r="J15" s="134"/>
      <c r="K15" s="134"/>
      <c r="L15" s="134"/>
      <c r="M15" s="265"/>
      <c r="N15" s="134"/>
      <c r="O15" s="220">
        <f t="shared" si="0"/>
        <v>0</v>
      </c>
      <c r="P15" s="317">
        <f>'[3]851011_091110'!$E$16</f>
        <v>2219</v>
      </c>
      <c r="Q15" s="134"/>
      <c r="R15" s="134">
        <f>'[3]381103_051030'!$E$16</f>
        <v>387</v>
      </c>
      <c r="S15" s="134">
        <f>'[3]522000_045160'!$E$16</f>
        <v>258</v>
      </c>
      <c r="T15" s="134"/>
      <c r="U15" s="134">
        <f>'[3]562913_096020'!$E$16</f>
        <v>528</v>
      </c>
      <c r="V15" s="134"/>
      <c r="W15" s="134"/>
      <c r="X15" s="134"/>
      <c r="Y15" s="134"/>
      <c r="Z15" s="134"/>
      <c r="AA15" s="134"/>
      <c r="AB15" s="134">
        <f>'[3]811000_013350'!$E$16</f>
        <v>387</v>
      </c>
      <c r="AC15" s="134">
        <f>'[3]813000_066010'!$E$16</f>
        <v>881</v>
      </c>
      <c r="AD15" s="134">
        <f>'[3]841154_013350'!$E$16</f>
        <v>1098</v>
      </c>
      <c r="AE15" s="134"/>
      <c r="AF15" s="134">
        <f>'[3]841403_066020'!$E$16</f>
        <v>65</v>
      </c>
      <c r="AG15" s="134"/>
      <c r="AH15" s="134"/>
      <c r="AI15" s="134">
        <f>'[3]862101_072111'!$E$16</f>
        <v>159</v>
      </c>
      <c r="AJ15" s="134"/>
      <c r="AK15" s="134"/>
      <c r="AL15" s="134"/>
      <c r="AM15" s="134">
        <f>'[3]869041_074031'!$E$16</f>
        <v>148</v>
      </c>
      <c r="AN15" s="134"/>
      <c r="AO15" s="134"/>
      <c r="AP15" s="134">
        <f>'[3]889928_107055'!$E$16</f>
        <v>129</v>
      </c>
      <c r="AQ15" s="134"/>
      <c r="AR15" s="134"/>
      <c r="AS15" s="134"/>
      <c r="AT15" s="134"/>
      <c r="AU15" s="134">
        <f>'[3]910502_082902'!$E$16</f>
        <v>111</v>
      </c>
      <c r="AV15" s="134"/>
      <c r="AW15" s="134"/>
      <c r="AX15" s="134"/>
      <c r="AY15" s="317">
        <f t="shared" si="1"/>
        <v>4151</v>
      </c>
      <c r="AZ15" s="15">
        <f t="shared" si="2"/>
        <v>6370</v>
      </c>
    </row>
    <row r="16" spans="1:52" ht="16.5" thickBot="1">
      <c r="A16" s="55">
        <v>12</v>
      </c>
      <c r="B16" s="148" t="s">
        <v>374</v>
      </c>
      <c r="C16" s="149" t="s">
        <v>375</v>
      </c>
      <c r="D16" s="266">
        <f>SUM(D5:D15)</f>
        <v>26</v>
      </c>
      <c r="E16" s="201">
        <f aca="true" t="shared" si="3" ref="E16:AX16">SUM(E5:E15)</f>
        <v>0</v>
      </c>
      <c r="F16" s="201"/>
      <c r="G16" s="201">
        <f t="shared" si="3"/>
        <v>48</v>
      </c>
      <c r="H16" s="201">
        <f t="shared" si="3"/>
        <v>0</v>
      </c>
      <c r="I16" s="201">
        <f t="shared" si="3"/>
        <v>0</v>
      </c>
      <c r="J16" s="201">
        <f t="shared" si="3"/>
        <v>0</v>
      </c>
      <c r="K16" s="201">
        <f t="shared" si="3"/>
        <v>0</v>
      </c>
      <c r="L16" s="201">
        <f t="shared" si="3"/>
        <v>0</v>
      </c>
      <c r="M16" s="266">
        <f t="shared" si="3"/>
        <v>0</v>
      </c>
      <c r="N16" s="201">
        <f t="shared" si="3"/>
        <v>0</v>
      </c>
      <c r="O16" s="220">
        <f t="shared" si="0"/>
        <v>74</v>
      </c>
      <c r="P16" s="321">
        <f t="shared" si="3"/>
        <v>33360</v>
      </c>
      <c r="Q16" s="201">
        <f t="shared" si="3"/>
        <v>0</v>
      </c>
      <c r="R16" s="201">
        <f t="shared" si="3"/>
        <v>5624</v>
      </c>
      <c r="S16" s="201">
        <f t="shared" si="3"/>
        <v>3985</v>
      </c>
      <c r="T16" s="201">
        <f t="shared" si="3"/>
        <v>0</v>
      </c>
      <c r="U16" s="201">
        <f t="shared" si="3"/>
        <v>8857</v>
      </c>
      <c r="V16" s="201">
        <f t="shared" si="3"/>
        <v>0</v>
      </c>
      <c r="W16" s="201">
        <f t="shared" si="3"/>
        <v>0</v>
      </c>
      <c r="X16" s="201">
        <f t="shared" si="3"/>
        <v>0</v>
      </c>
      <c r="Y16" s="201">
        <f t="shared" si="3"/>
        <v>0</v>
      </c>
      <c r="Z16" s="201">
        <f t="shared" si="3"/>
        <v>0</v>
      </c>
      <c r="AA16" s="201">
        <f t="shared" si="3"/>
        <v>0</v>
      </c>
      <c r="AB16" s="201">
        <f t="shared" si="3"/>
        <v>5597</v>
      </c>
      <c r="AC16" s="201">
        <f t="shared" si="3"/>
        <v>14204</v>
      </c>
      <c r="AD16" s="201">
        <f t="shared" si="3"/>
        <v>16722</v>
      </c>
      <c r="AE16" s="201">
        <f t="shared" si="3"/>
        <v>0</v>
      </c>
      <c r="AF16" s="201">
        <f t="shared" si="3"/>
        <v>911</v>
      </c>
      <c r="AG16" s="201">
        <f t="shared" si="3"/>
        <v>0</v>
      </c>
      <c r="AH16" s="201">
        <f t="shared" si="3"/>
        <v>0</v>
      </c>
      <c r="AI16" s="201">
        <f t="shared" si="3"/>
        <v>2843</v>
      </c>
      <c r="AJ16" s="201">
        <f t="shared" si="3"/>
        <v>0</v>
      </c>
      <c r="AK16" s="201">
        <f t="shared" si="3"/>
        <v>0</v>
      </c>
      <c r="AL16" s="201">
        <f t="shared" si="3"/>
        <v>0</v>
      </c>
      <c r="AM16" s="201">
        <f t="shared" si="3"/>
        <v>2589</v>
      </c>
      <c r="AN16" s="201">
        <f t="shared" si="3"/>
        <v>0</v>
      </c>
      <c r="AO16" s="201">
        <f t="shared" si="3"/>
        <v>0</v>
      </c>
      <c r="AP16" s="201">
        <f t="shared" si="3"/>
        <v>2172</v>
      </c>
      <c r="AQ16" s="201">
        <f t="shared" si="3"/>
        <v>0</v>
      </c>
      <c r="AR16" s="201">
        <f t="shared" si="3"/>
        <v>8954</v>
      </c>
      <c r="AS16" s="201">
        <f t="shared" si="3"/>
        <v>2771</v>
      </c>
      <c r="AT16" s="201">
        <f t="shared" si="3"/>
        <v>0</v>
      </c>
      <c r="AU16" s="201">
        <f t="shared" si="3"/>
        <v>1703</v>
      </c>
      <c r="AV16" s="201">
        <f t="shared" si="3"/>
        <v>0</v>
      </c>
      <c r="AW16" s="201">
        <f t="shared" si="3"/>
        <v>0</v>
      </c>
      <c r="AX16" s="201">
        <f t="shared" si="3"/>
        <v>0</v>
      </c>
      <c r="AY16" s="317">
        <f t="shared" si="1"/>
        <v>76932</v>
      </c>
      <c r="AZ16" s="15">
        <f t="shared" si="2"/>
        <v>110366</v>
      </c>
    </row>
    <row r="17" spans="1:52" ht="15.75" thickBot="1">
      <c r="A17" s="54">
        <v>13</v>
      </c>
      <c r="B17" s="150" t="s">
        <v>376</v>
      </c>
      <c r="C17" s="151" t="s">
        <v>377</v>
      </c>
      <c r="D17" s="283">
        <f>'[2]841112_011130'!$E$19</f>
        <v>6056</v>
      </c>
      <c r="E17" s="134"/>
      <c r="F17" s="134"/>
      <c r="G17" s="134"/>
      <c r="H17" s="134"/>
      <c r="I17" s="134"/>
      <c r="J17" s="134"/>
      <c r="K17" s="134"/>
      <c r="L17" s="134"/>
      <c r="M17" s="265"/>
      <c r="N17" s="134"/>
      <c r="O17" s="220">
        <f t="shared" si="0"/>
        <v>6056</v>
      </c>
      <c r="P17" s="317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317">
        <f t="shared" si="1"/>
        <v>0</v>
      </c>
      <c r="AZ17" s="15">
        <f t="shared" si="2"/>
        <v>6056</v>
      </c>
    </row>
    <row r="18" spans="1:52" ht="15.75" thickBot="1">
      <c r="A18" s="54">
        <v>14</v>
      </c>
      <c r="B18" s="150" t="s">
        <v>378</v>
      </c>
      <c r="C18" s="151" t="s">
        <v>379</v>
      </c>
      <c r="D18" s="283">
        <f>'[2]841112_011130'!$E$20</f>
        <v>0</v>
      </c>
      <c r="E18" s="134"/>
      <c r="F18" s="134"/>
      <c r="G18" s="134"/>
      <c r="H18" s="134"/>
      <c r="I18" s="134"/>
      <c r="J18" s="134"/>
      <c r="K18" s="134"/>
      <c r="L18" s="134"/>
      <c r="M18" s="265"/>
      <c r="N18" s="134"/>
      <c r="O18" s="220">
        <f t="shared" si="0"/>
        <v>0</v>
      </c>
      <c r="P18" s="317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>
        <f>'[3]862101_072111'!$E$19</f>
        <v>179</v>
      </c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317">
        <f t="shared" si="1"/>
        <v>179</v>
      </c>
      <c r="AZ18" s="15">
        <f t="shared" si="2"/>
        <v>179</v>
      </c>
    </row>
    <row r="19" spans="1:52" ht="15.75" thickBot="1">
      <c r="A19" s="54">
        <v>15</v>
      </c>
      <c r="B19" s="150" t="s">
        <v>380</v>
      </c>
      <c r="C19" s="151" t="s">
        <v>381</v>
      </c>
      <c r="D19" s="283">
        <v>85</v>
      </c>
      <c r="E19" s="134"/>
      <c r="F19" s="134"/>
      <c r="G19" s="134"/>
      <c r="H19" s="134"/>
      <c r="I19" s="134"/>
      <c r="J19" s="134"/>
      <c r="K19" s="134"/>
      <c r="L19" s="134"/>
      <c r="M19" s="265"/>
      <c r="N19" s="134"/>
      <c r="O19" s="220">
        <f t="shared" si="0"/>
        <v>85</v>
      </c>
      <c r="P19" s="317">
        <v>8</v>
      </c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>
        <f>'[3]841154_013350'!$E$20</f>
        <v>150</v>
      </c>
      <c r="AE19" s="134"/>
      <c r="AF19" s="134"/>
      <c r="AG19" s="134"/>
      <c r="AH19" s="134"/>
      <c r="AI19" s="134"/>
      <c r="AJ19" s="134"/>
      <c r="AK19" s="134"/>
      <c r="AL19" s="134"/>
      <c r="AM19" s="134">
        <f>'[3]869041_074031'!$E$20</f>
        <v>5</v>
      </c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317">
        <f t="shared" si="1"/>
        <v>155</v>
      </c>
      <c r="AZ19" s="15">
        <f t="shared" si="2"/>
        <v>248</v>
      </c>
    </row>
    <row r="20" spans="1:52" ht="15.75" thickBot="1">
      <c r="A20" s="54">
        <v>16</v>
      </c>
      <c r="B20" s="150" t="s">
        <v>382</v>
      </c>
      <c r="C20" s="151" t="s">
        <v>383</v>
      </c>
      <c r="D20" s="283">
        <v>775</v>
      </c>
      <c r="E20" s="134"/>
      <c r="F20" s="134"/>
      <c r="G20" s="134"/>
      <c r="H20" s="134"/>
      <c r="I20" s="134"/>
      <c r="J20" s="134"/>
      <c r="K20" s="134"/>
      <c r="L20" s="134"/>
      <c r="M20" s="265"/>
      <c r="N20" s="134"/>
      <c r="O20" s="220">
        <f t="shared" si="0"/>
        <v>775</v>
      </c>
      <c r="P20" s="317"/>
      <c r="Q20" s="134"/>
      <c r="R20" s="134"/>
      <c r="S20" s="134"/>
      <c r="T20" s="134"/>
      <c r="U20" s="134">
        <f>'[3]562913_096020'!$E$21</f>
        <v>456</v>
      </c>
      <c r="V20" s="134"/>
      <c r="W20" s="134"/>
      <c r="X20" s="134"/>
      <c r="Y20" s="134"/>
      <c r="Z20" s="134"/>
      <c r="AA20" s="134"/>
      <c r="AB20" s="134"/>
      <c r="AC20" s="134">
        <v>25</v>
      </c>
      <c r="AD20" s="134">
        <v>962</v>
      </c>
      <c r="AE20" s="134"/>
      <c r="AF20" s="134">
        <v>529</v>
      </c>
      <c r="AG20" s="134"/>
      <c r="AH20" s="134">
        <f>'[3]852011_013350'!$E$21</f>
        <v>450</v>
      </c>
      <c r="AI20" s="134"/>
      <c r="AJ20" s="134"/>
      <c r="AK20" s="134"/>
      <c r="AL20" s="134"/>
      <c r="AM20" s="134">
        <f>'[3]869041_074031'!$E$21</f>
        <v>250</v>
      </c>
      <c r="AN20" s="134"/>
      <c r="AO20" s="134"/>
      <c r="AP20" s="134"/>
      <c r="AQ20" s="134"/>
      <c r="AR20" s="134"/>
      <c r="AS20" s="134"/>
      <c r="AT20" s="134">
        <f>'[3]910123_082092'!$E$21</f>
        <v>480</v>
      </c>
      <c r="AU20" s="134">
        <v>396</v>
      </c>
      <c r="AV20" s="134"/>
      <c r="AW20" s="134">
        <v>875</v>
      </c>
      <c r="AX20" s="134">
        <v>105</v>
      </c>
      <c r="AY20" s="317">
        <f t="shared" si="1"/>
        <v>4528</v>
      </c>
      <c r="AZ20" s="15">
        <f t="shared" si="2"/>
        <v>5303</v>
      </c>
    </row>
    <row r="21" spans="1:52" ht="16.5" thickBot="1">
      <c r="A21" s="55">
        <v>17</v>
      </c>
      <c r="B21" s="148" t="s">
        <v>384</v>
      </c>
      <c r="C21" s="149" t="s">
        <v>385</v>
      </c>
      <c r="D21" s="267">
        <f>SUM(D17:D20)</f>
        <v>6916</v>
      </c>
      <c r="E21" s="202">
        <f aca="true" t="shared" si="4" ref="E21:AX21">SUM(E17:E20)</f>
        <v>0</v>
      </c>
      <c r="F21" s="202"/>
      <c r="G21" s="202">
        <f t="shared" si="4"/>
        <v>0</v>
      </c>
      <c r="H21" s="202">
        <f t="shared" si="4"/>
        <v>0</v>
      </c>
      <c r="I21" s="202">
        <f t="shared" si="4"/>
        <v>0</v>
      </c>
      <c r="J21" s="202">
        <f t="shared" si="4"/>
        <v>0</v>
      </c>
      <c r="K21" s="202">
        <f t="shared" si="4"/>
        <v>0</v>
      </c>
      <c r="L21" s="202">
        <f t="shared" si="4"/>
        <v>0</v>
      </c>
      <c r="M21" s="267">
        <f t="shared" si="4"/>
        <v>0</v>
      </c>
      <c r="N21" s="202">
        <f t="shared" si="4"/>
        <v>0</v>
      </c>
      <c r="O21" s="220">
        <f t="shared" si="0"/>
        <v>6916</v>
      </c>
      <c r="P21" s="319">
        <f t="shared" si="4"/>
        <v>8</v>
      </c>
      <c r="Q21" s="202">
        <f t="shared" si="4"/>
        <v>0</v>
      </c>
      <c r="R21" s="202">
        <f t="shared" si="4"/>
        <v>0</v>
      </c>
      <c r="S21" s="202">
        <f t="shared" si="4"/>
        <v>0</v>
      </c>
      <c r="T21" s="202">
        <f t="shared" si="4"/>
        <v>0</v>
      </c>
      <c r="U21" s="202">
        <f t="shared" si="4"/>
        <v>456</v>
      </c>
      <c r="V21" s="202">
        <f t="shared" si="4"/>
        <v>0</v>
      </c>
      <c r="W21" s="202">
        <f t="shared" si="4"/>
        <v>0</v>
      </c>
      <c r="X21" s="202">
        <f t="shared" si="4"/>
        <v>0</v>
      </c>
      <c r="Y21" s="202">
        <f t="shared" si="4"/>
        <v>0</v>
      </c>
      <c r="Z21" s="202">
        <f t="shared" si="4"/>
        <v>0</v>
      </c>
      <c r="AA21" s="202">
        <f t="shared" si="4"/>
        <v>0</v>
      </c>
      <c r="AB21" s="202">
        <f t="shared" si="4"/>
        <v>0</v>
      </c>
      <c r="AC21" s="202">
        <f t="shared" si="4"/>
        <v>25</v>
      </c>
      <c r="AD21" s="202">
        <f t="shared" si="4"/>
        <v>1112</v>
      </c>
      <c r="AE21" s="202">
        <f t="shared" si="4"/>
        <v>0</v>
      </c>
      <c r="AF21" s="202">
        <f t="shared" si="4"/>
        <v>529</v>
      </c>
      <c r="AG21" s="202">
        <f t="shared" si="4"/>
        <v>0</v>
      </c>
      <c r="AH21" s="202">
        <f t="shared" si="4"/>
        <v>450</v>
      </c>
      <c r="AI21" s="202">
        <f t="shared" si="4"/>
        <v>179</v>
      </c>
      <c r="AJ21" s="202">
        <f t="shared" si="4"/>
        <v>0</v>
      </c>
      <c r="AK21" s="202">
        <f t="shared" si="4"/>
        <v>0</v>
      </c>
      <c r="AL21" s="202">
        <f t="shared" si="4"/>
        <v>0</v>
      </c>
      <c r="AM21" s="202">
        <f t="shared" si="4"/>
        <v>255</v>
      </c>
      <c r="AN21" s="202">
        <f t="shared" si="4"/>
        <v>0</v>
      </c>
      <c r="AO21" s="202">
        <f t="shared" si="4"/>
        <v>0</v>
      </c>
      <c r="AP21" s="202">
        <f t="shared" si="4"/>
        <v>0</v>
      </c>
      <c r="AQ21" s="202">
        <f t="shared" si="4"/>
        <v>0</v>
      </c>
      <c r="AR21" s="202">
        <f t="shared" si="4"/>
        <v>0</v>
      </c>
      <c r="AS21" s="202">
        <f t="shared" si="4"/>
        <v>0</v>
      </c>
      <c r="AT21" s="202">
        <f t="shared" si="4"/>
        <v>480</v>
      </c>
      <c r="AU21" s="202">
        <f t="shared" si="4"/>
        <v>396</v>
      </c>
      <c r="AV21" s="202">
        <f t="shared" si="4"/>
        <v>0</v>
      </c>
      <c r="AW21" s="202">
        <f t="shared" si="4"/>
        <v>875</v>
      </c>
      <c r="AX21" s="202">
        <f t="shared" si="4"/>
        <v>105</v>
      </c>
      <c r="AY21" s="317">
        <f t="shared" si="1"/>
        <v>4862</v>
      </c>
      <c r="AZ21" s="15">
        <f t="shared" si="2"/>
        <v>11786</v>
      </c>
    </row>
    <row r="22" spans="1:52" ht="27" customHeight="1" thickBot="1">
      <c r="A22" s="54">
        <v>18</v>
      </c>
      <c r="B22" s="152" t="s">
        <v>386</v>
      </c>
      <c r="C22" s="153" t="s">
        <v>387</v>
      </c>
      <c r="D22" s="266">
        <f>SUM(D21,D16)</f>
        <v>6942</v>
      </c>
      <c r="E22" s="201">
        <f aca="true" t="shared" si="5" ref="E22:AX22">SUM(E21,E16)</f>
        <v>0</v>
      </c>
      <c r="F22" s="201"/>
      <c r="G22" s="201">
        <f t="shared" si="5"/>
        <v>48</v>
      </c>
      <c r="H22" s="201">
        <f t="shared" si="5"/>
        <v>0</v>
      </c>
      <c r="I22" s="201">
        <f t="shared" si="5"/>
        <v>0</v>
      </c>
      <c r="J22" s="201">
        <f t="shared" si="5"/>
        <v>0</v>
      </c>
      <c r="K22" s="201">
        <f t="shared" si="5"/>
        <v>0</v>
      </c>
      <c r="L22" s="201">
        <f t="shared" si="5"/>
        <v>0</v>
      </c>
      <c r="M22" s="266">
        <f t="shared" si="5"/>
        <v>0</v>
      </c>
      <c r="N22" s="201">
        <f t="shared" si="5"/>
        <v>0</v>
      </c>
      <c r="O22" s="220">
        <f t="shared" si="0"/>
        <v>6990</v>
      </c>
      <c r="P22" s="321">
        <f t="shared" si="5"/>
        <v>33368</v>
      </c>
      <c r="Q22" s="201">
        <f t="shared" si="5"/>
        <v>0</v>
      </c>
      <c r="R22" s="201">
        <f t="shared" si="5"/>
        <v>5624</v>
      </c>
      <c r="S22" s="201">
        <f t="shared" si="5"/>
        <v>3985</v>
      </c>
      <c r="T22" s="201">
        <f t="shared" si="5"/>
        <v>0</v>
      </c>
      <c r="U22" s="201">
        <f t="shared" si="5"/>
        <v>9313</v>
      </c>
      <c r="V22" s="201">
        <f t="shared" si="5"/>
        <v>0</v>
      </c>
      <c r="W22" s="201">
        <f t="shared" si="5"/>
        <v>0</v>
      </c>
      <c r="X22" s="201">
        <f t="shared" si="5"/>
        <v>0</v>
      </c>
      <c r="Y22" s="201">
        <f t="shared" si="5"/>
        <v>0</v>
      </c>
      <c r="Z22" s="201">
        <f t="shared" si="5"/>
        <v>0</v>
      </c>
      <c r="AA22" s="201">
        <f t="shared" si="5"/>
        <v>0</v>
      </c>
      <c r="AB22" s="201">
        <f t="shared" si="5"/>
        <v>5597</v>
      </c>
      <c r="AC22" s="201">
        <f t="shared" si="5"/>
        <v>14229</v>
      </c>
      <c r="AD22" s="201">
        <f t="shared" si="5"/>
        <v>17834</v>
      </c>
      <c r="AE22" s="201">
        <f t="shared" si="5"/>
        <v>0</v>
      </c>
      <c r="AF22" s="201">
        <f t="shared" si="5"/>
        <v>1440</v>
      </c>
      <c r="AG22" s="201">
        <f t="shared" si="5"/>
        <v>0</v>
      </c>
      <c r="AH22" s="201">
        <f t="shared" si="5"/>
        <v>450</v>
      </c>
      <c r="AI22" s="201">
        <f t="shared" si="5"/>
        <v>3022</v>
      </c>
      <c r="AJ22" s="201">
        <f t="shared" si="5"/>
        <v>0</v>
      </c>
      <c r="AK22" s="201">
        <f t="shared" si="5"/>
        <v>0</v>
      </c>
      <c r="AL22" s="201">
        <f t="shared" si="5"/>
        <v>0</v>
      </c>
      <c r="AM22" s="201">
        <f t="shared" si="5"/>
        <v>2844</v>
      </c>
      <c r="AN22" s="201">
        <f t="shared" si="5"/>
        <v>0</v>
      </c>
      <c r="AO22" s="201">
        <f t="shared" si="5"/>
        <v>0</v>
      </c>
      <c r="AP22" s="201">
        <f t="shared" si="5"/>
        <v>2172</v>
      </c>
      <c r="AQ22" s="201">
        <f t="shared" si="5"/>
        <v>0</v>
      </c>
      <c r="AR22" s="201">
        <f t="shared" si="5"/>
        <v>8954</v>
      </c>
      <c r="AS22" s="201">
        <f t="shared" si="5"/>
        <v>2771</v>
      </c>
      <c r="AT22" s="201">
        <f t="shared" si="5"/>
        <v>480</v>
      </c>
      <c r="AU22" s="201">
        <f t="shared" si="5"/>
        <v>2099</v>
      </c>
      <c r="AV22" s="201">
        <f t="shared" si="5"/>
        <v>0</v>
      </c>
      <c r="AW22" s="201">
        <f t="shared" si="5"/>
        <v>875</v>
      </c>
      <c r="AX22" s="201">
        <f t="shared" si="5"/>
        <v>105</v>
      </c>
      <c r="AY22" s="317">
        <f t="shared" si="1"/>
        <v>81794</v>
      </c>
      <c r="AZ22" s="15">
        <f t="shared" si="2"/>
        <v>122152</v>
      </c>
    </row>
    <row r="23" spans="1:52" ht="15.75" thickBot="1">
      <c r="A23" s="54">
        <v>19</v>
      </c>
      <c r="B23" s="154"/>
      <c r="C23" s="155"/>
      <c r="D23" s="283"/>
      <c r="E23" s="134"/>
      <c r="F23" s="134"/>
      <c r="G23" s="134"/>
      <c r="H23" s="134"/>
      <c r="I23" s="134"/>
      <c r="J23" s="134"/>
      <c r="K23" s="134"/>
      <c r="L23" s="134"/>
      <c r="M23" s="265"/>
      <c r="N23" s="134"/>
      <c r="O23" s="220">
        <f t="shared" si="0"/>
        <v>0</v>
      </c>
      <c r="P23" s="317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317">
        <f t="shared" si="1"/>
        <v>0</v>
      </c>
      <c r="AZ23" s="15">
        <f t="shared" si="2"/>
        <v>0</v>
      </c>
    </row>
    <row r="24" spans="1:52" s="23" customFormat="1" ht="15">
      <c r="A24" s="54">
        <v>20</v>
      </c>
      <c r="B24" s="156" t="s">
        <v>388</v>
      </c>
      <c r="C24" s="37" t="s">
        <v>389</v>
      </c>
      <c r="D24" s="284">
        <v>1859</v>
      </c>
      <c r="E24" s="221"/>
      <c r="F24" s="221"/>
      <c r="G24" s="221"/>
      <c r="H24" s="221"/>
      <c r="I24" s="221"/>
      <c r="J24" s="221"/>
      <c r="K24" s="221"/>
      <c r="L24" s="221"/>
      <c r="M24" s="268"/>
      <c r="N24" s="221"/>
      <c r="O24" s="225">
        <f t="shared" si="0"/>
        <v>1859</v>
      </c>
      <c r="P24" s="318">
        <v>8486</v>
      </c>
      <c r="Q24" s="221"/>
      <c r="R24" s="221">
        <v>1398</v>
      </c>
      <c r="S24" s="221">
        <v>996</v>
      </c>
      <c r="T24" s="221"/>
      <c r="U24" s="221">
        <v>2354</v>
      </c>
      <c r="V24" s="221"/>
      <c r="W24" s="221"/>
      <c r="X24" s="221"/>
      <c r="Y24" s="221"/>
      <c r="Z24" s="221"/>
      <c r="AA24" s="221"/>
      <c r="AB24" s="221">
        <v>1389</v>
      </c>
      <c r="AC24" s="221">
        <v>3601</v>
      </c>
      <c r="AD24" s="221">
        <v>4560</v>
      </c>
      <c r="AE24" s="221"/>
      <c r="AF24" s="221">
        <f>'[3]841403_066020'!$E$25</f>
        <v>320</v>
      </c>
      <c r="AG24" s="221"/>
      <c r="AH24" s="221">
        <f>'[3]852011_013350'!$E$25</f>
        <v>108</v>
      </c>
      <c r="AI24" s="221">
        <v>759</v>
      </c>
      <c r="AJ24" s="221"/>
      <c r="AK24" s="221"/>
      <c r="AL24" s="221"/>
      <c r="AM24" s="221">
        <v>681</v>
      </c>
      <c r="AN24" s="221"/>
      <c r="AO24" s="221"/>
      <c r="AP24" s="221">
        <v>545</v>
      </c>
      <c r="AQ24" s="221"/>
      <c r="AR24" s="221">
        <v>1208</v>
      </c>
      <c r="AS24" s="221">
        <f>'[3]890444_041231'!$E$25</f>
        <v>374</v>
      </c>
      <c r="AT24" s="221">
        <f>'[3]910123_082092'!$E$25</f>
        <v>130</v>
      </c>
      <c r="AU24" s="221">
        <v>510</v>
      </c>
      <c r="AV24" s="221"/>
      <c r="AW24" s="221">
        <v>236</v>
      </c>
      <c r="AX24" s="221">
        <v>29</v>
      </c>
      <c r="AY24" s="318">
        <f t="shared" si="1"/>
        <v>19198</v>
      </c>
      <c r="AZ24" s="19">
        <f t="shared" si="2"/>
        <v>29543</v>
      </c>
    </row>
    <row r="25" spans="1:52" s="23" customFormat="1" ht="15">
      <c r="A25" s="54">
        <v>21</v>
      </c>
      <c r="B25" s="157" t="s">
        <v>390</v>
      </c>
      <c r="C25" s="37" t="s">
        <v>391</v>
      </c>
      <c r="D25" s="284">
        <f>'[2]841112_011130'!$E$26</f>
        <v>0</v>
      </c>
      <c r="E25" s="221"/>
      <c r="F25" s="221"/>
      <c r="G25" s="221"/>
      <c r="H25" s="221"/>
      <c r="I25" s="221"/>
      <c r="J25" s="221"/>
      <c r="K25" s="221"/>
      <c r="L25" s="221"/>
      <c r="M25" s="268"/>
      <c r="N25" s="221"/>
      <c r="O25" s="225">
        <f t="shared" si="0"/>
        <v>0</v>
      </c>
      <c r="P25" s="318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>
        <f>'[3]841154_013350'!$E$26</f>
        <v>721</v>
      </c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318">
        <f t="shared" si="1"/>
        <v>721</v>
      </c>
      <c r="AZ25" s="19">
        <f t="shared" si="2"/>
        <v>721</v>
      </c>
    </row>
    <row r="26" spans="1:52" s="23" customFormat="1" ht="15">
      <c r="A26" s="55">
        <v>22</v>
      </c>
      <c r="B26" s="158" t="s">
        <v>392</v>
      </c>
      <c r="C26" s="159" t="s">
        <v>393</v>
      </c>
      <c r="D26" s="284">
        <f>'[2]841112_011130'!$E$27</f>
        <v>0</v>
      </c>
      <c r="E26" s="221"/>
      <c r="F26" s="221"/>
      <c r="G26" s="221"/>
      <c r="H26" s="221"/>
      <c r="I26" s="221"/>
      <c r="J26" s="221"/>
      <c r="K26" s="221"/>
      <c r="L26" s="221"/>
      <c r="M26" s="268"/>
      <c r="N26" s="221"/>
      <c r="O26" s="225">
        <f t="shared" si="0"/>
        <v>0</v>
      </c>
      <c r="P26" s="318">
        <f>'[3]851011_091110'!$E$27</f>
        <v>250</v>
      </c>
      <c r="Q26" s="221"/>
      <c r="R26" s="221">
        <f>'[3]381103_051030'!$E$27</f>
        <v>75</v>
      </c>
      <c r="S26" s="221">
        <f>'[3]522000_045160'!$E$27</f>
        <v>50</v>
      </c>
      <c r="T26" s="221"/>
      <c r="U26" s="221">
        <f>'[3]562913_096020'!$E$27</f>
        <v>100</v>
      </c>
      <c r="V26" s="221"/>
      <c r="W26" s="221"/>
      <c r="X26" s="221"/>
      <c r="Y26" s="221"/>
      <c r="Z26" s="221"/>
      <c r="AA26" s="221"/>
      <c r="AB26" s="221">
        <f>'[3]811000_013350'!$E$27</f>
        <v>75</v>
      </c>
      <c r="AC26" s="221">
        <f>'[3]813000_066010'!$E$27</f>
        <v>141</v>
      </c>
      <c r="AD26" s="221">
        <f>'[3]841154_013350'!$E$27</f>
        <v>150</v>
      </c>
      <c r="AE26" s="221"/>
      <c r="AF26" s="221">
        <f>'[3]841403_066020'!$E$27</f>
        <v>13</v>
      </c>
      <c r="AG26" s="221"/>
      <c r="AH26" s="221"/>
      <c r="AI26" s="221">
        <f>'[3]862101_072111'!$E$27</f>
        <v>25</v>
      </c>
      <c r="AJ26" s="221"/>
      <c r="AK26" s="221"/>
      <c r="AL26" s="221"/>
      <c r="AM26" s="221">
        <f>'[3]869041_074031'!$E$27</f>
        <v>25</v>
      </c>
      <c r="AN26" s="221"/>
      <c r="AO26" s="221"/>
      <c r="AP26" s="221">
        <f>'[3]889928_107055'!$E$27</f>
        <v>25</v>
      </c>
      <c r="AQ26" s="221"/>
      <c r="AR26" s="221"/>
      <c r="AS26" s="221"/>
      <c r="AT26" s="221"/>
      <c r="AU26" s="221">
        <v>25</v>
      </c>
      <c r="AV26" s="221"/>
      <c r="AW26" s="221"/>
      <c r="AX26" s="221"/>
      <c r="AY26" s="318">
        <f t="shared" si="1"/>
        <v>704</v>
      </c>
      <c r="AZ26" s="19">
        <f t="shared" si="2"/>
        <v>954</v>
      </c>
    </row>
    <row r="27" spans="1:52" s="23" customFormat="1" ht="15.75" thickBot="1">
      <c r="A27" s="54">
        <v>23</v>
      </c>
      <c r="B27" s="160" t="s">
        <v>394</v>
      </c>
      <c r="C27" s="159" t="s">
        <v>395</v>
      </c>
      <c r="D27" s="284">
        <f>'[2]841112_011130'!$E$28</f>
        <v>0</v>
      </c>
      <c r="E27" s="221"/>
      <c r="F27" s="221"/>
      <c r="G27" s="221"/>
      <c r="H27" s="221"/>
      <c r="I27" s="221"/>
      <c r="J27" s="221"/>
      <c r="K27" s="221"/>
      <c r="L27" s="221"/>
      <c r="M27" s="268"/>
      <c r="N27" s="221"/>
      <c r="O27" s="225">
        <f t="shared" si="0"/>
        <v>0</v>
      </c>
      <c r="P27" s="318">
        <f>'[3]851011_091110'!$E$28</f>
        <v>286</v>
      </c>
      <c r="Q27" s="221"/>
      <c r="R27" s="221">
        <f>'[3]381103_051030'!$E$28</f>
        <v>86</v>
      </c>
      <c r="S27" s="221">
        <f>'[3]522000_045160'!$E$28</f>
        <v>57</v>
      </c>
      <c r="T27" s="221"/>
      <c r="U27" s="221">
        <f>'[3]562913_096020'!$E$28</f>
        <v>114</v>
      </c>
      <c r="V27" s="221"/>
      <c r="W27" s="221"/>
      <c r="X27" s="221"/>
      <c r="Y27" s="221"/>
      <c r="Z27" s="221"/>
      <c r="AA27" s="221"/>
      <c r="AB27" s="221">
        <f>'[3]811000_013350'!$E$28</f>
        <v>86</v>
      </c>
      <c r="AC27" s="221">
        <f>'[3]813000_066010'!$E$28</f>
        <v>171</v>
      </c>
      <c r="AD27" s="221">
        <f>'[3]841154_013350'!$E$28</f>
        <v>171</v>
      </c>
      <c r="AE27" s="221"/>
      <c r="AF27" s="221">
        <f>'[3]841403_066020'!$E$28</f>
        <v>14</v>
      </c>
      <c r="AG27" s="221"/>
      <c r="AH27" s="221"/>
      <c r="AI27" s="221">
        <f>'[3]862101_072111'!$E$28</f>
        <v>29</v>
      </c>
      <c r="AJ27" s="221"/>
      <c r="AK27" s="221"/>
      <c r="AL27" s="221"/>
      <c r="AM27" s="221">
        <f>'[3]869041_074031'!$E$28</f>
        <v>29</v>
      </c>
      <c r="AN27" s="221"/>
      <c r="AO27" s="221"/>
      <c r="AP27" s="221">
        <f>'[3]889928_107055'!$E$28</f>
        <v>29</v>
      </c>
      <c r="AQ27" s="221"/>
      <c r="AR27" s="221"/>
      <c r="AS27" s="221"/>
      <c r="AT27" s="221"/>
      <c r="AU27" s="221">
        <v>29</v>
      </c>
      <c r="AV27" s="221"/>
      <c r="AW27" s="221"/>
      <c r="AX27" s="221"/>
      <c r="AY27" s="318">
        <f t="shared" si="1"/>
        <v>815</v>
      </c>
      <c r="AZ27" s="19">
        <f t="shared" si="2"/>
        <v>1101</v>
      </c>
    </row>
    <row r="28" spans="1:52" ht="16.5" thickBot="1">
      <c r="A28" s="54">
        <v>24</v>
      </c>
      <c r="B28" s="161" t="s">
        <v>396</v>
      </c>
      <c r="C28" s="162" t="s">
        <v>266</v>
      </c>
      <c r="D28" s="269">
        <f>SUM(D24:D27)</f>
        <v>1859</v>
      </c>
      <c r="E28" s="203">
        <f aca="true" t="shared" si="6" ref="E28:AX28">SUM(E24:E27)</f>
        <v>0</v>
      </c>
      <c r="F28" s="203"/>
      <c r="G28" s="203">
        <f t="shared" si="6"/>
        <v>0</v>
      </c>
      <c r="H28" s="203">
        <f t="shared" si="6"/>
        <v>0</v>
      </c>
      <c r="I28" s="203">
        <f t="shared" si="6"/>
        <v>0</v>
      </c>
      <c r="J28" s="203">
        <f t="shared" si="6"/>
        <v>0</v>
      </c>
      <c r="K28" s="203">
        <f t="shared" si="6"/>
        <v>0</v>
      </c>
      <c r="L28" s="203">
        <f t="shared" si="6"/>
        <v>0</v>
      </c>
      <c r="M28" s="269">
        <f t="shared" si="6"/>
        <v>0</v>
      </c>
      <c r="N28" s="203">
        <f t="shared" si="6"/>
        <v>0</v>
      </c>
      <c r="O28" s="220">
        <f t="shared" si="0"/>
        <v>1859</v>
      </c>
      <c r="P28" s="322">
        <f t="shared" si="6"/>
        <v>9022</v>
      </c>
      <c r="Q28" s="203">
        <f t="shared" si="6"/>
        <v>0</v>
      </c>
      <c r="R28" s="203">
        <f t="shared" si="6"/>
        <v>1559</v>
      </c>
      <c r="S28" s="203">
        <f t="shared" si="6"/>
        <v>1103</v>
      </c>
      <c r="T28" s="203">
        <f t="shared" si="6"/>
        <v>0</v>
      </c>
      <c r="U28" s="203">
        <f t="shared" si="6"/>
        <v>2568</v>
      </c>
      <c r="V28" s="203">
        <f t="shared" si="6"/>
        <v>0</v>
      </c>
      <c r="W28" s="203">
        <f t="shared" si="6"/>
        <v>0</v>
      </c>
      <c r="X28" s="203">
        <f t="shared" si="6"/>
        <v>0</v>
      </c>
      <c r="Y28" s="203">
        <f t="shared" si="6"/>
        <v>0</v>
      </c>
      <c r="Z28" s="203">
        <f t="shared" si="6"/>
        <v>0</v>
      </c>
      <c r="AA28" s="203">
        <f t="shared" si="6"/>
        <v>0</v>
      </c>
      <c r="AB28" s="203">
        <f t="shared" si="6"/>
        <v>1550</v>
      </c>
      <c r="AC28" s="203">
        <f t="shared" si="6"/>
        <v>3913</v>
      </c>
      <c r="AD28" s="203">
        <f t="shared" si="6"/>
        <v>5602</v>
      </c>
      <c r="AE28" s="203">
        <f t="shared" si="6"/>
        <v>0</v>
      </c>
      <c r="AF28" s="203">
        <f t="shared" si="6"/>
        <v>347</v>
      </c>
      <c r="AG28" s="203">
        <f t="shared" si="6"/>
        <v>0</v>
      </c>
      <c r="AH28" s="203">
        <f t="shared" si="6"/>
        <v>108</v>
      </c>
      <c r="AI28" s="203">
        <f t="shared" si="6"/>
        <v>813</v>
      </c>
      <c r="AJ28" s="203">
        <f t="shared" si="6"/>
        <v>0</v>
      </c>
      <c r="AK28" s="203">
        <f t="shared" si="6"/>
        <v>0</v>
      </c>
      <c r="AL28" s="203">
        <f t="shared" si="6"/>
        <v>0</v>
      </c>
      <c r="AM28" s="203">
        <f t="shared" si="6"/>
        <v>735</v>
      </c>
      <c r="AN28" s="203">
        <f t="shared" si="6"/>
        <v>0</v>
      </c>
      <c r="AO28" s="203">
        <f t="shared" si="6"/>
        <v>0</v>
      </c>
      <c r="AP28" s="203">
        <f t="shared" si="6"/>
        <v>599</v>
      </c>
      <c r="AQ28" s="203">
        <f t="shared" si="6"/>
        <v>0</v>
      </c>
      <c r="AR28" s="203">
        <f t="shared" si="6"/>
        <v>1208</v>
      </c>
      <c r="AS28" s="203">
        <f t="shared" si="6"/>
        <v>374</v>
      </c>
      <c r="AT28" s="203">
        <f t="shared" si="6"/>
        <v>130</v>
      </c>
      <c r="AU28" s="203">
        <f t="shared" si="6"/>
        <v>564</v>
      </c>
      <c r="AV28" s="203">
        <f t="shared" si="6"/>
        <v>0</v>
      </c>
      <c r="AW28" s="203">
        <f t="shared" si="6"/>
        <v>236</v>
      </c>
      <c r="AX28" s="203">
        <f t="shared" si="6"/>
        <v>29</v>
      </c>
      <c r="AY28" s="317">
        <f t="shared" si="1"/>
        <v>21438</v>
      </c>
      <c r="AZ28" s="15">
        <f t="shared" si="2"/>
        <v>32319</v>
      </c>
    </row>
    <row r="29" spans="1:52" ht="15.75" thickBot="1">
      <c r="A29" s="54">
        <v>25</v>
      </c>
      <c r="B29" s="163"/>
      <c r="C29" s="164"/>
      <c r="D29" s="283"/>
      <c r="E29" s="134"/>
      <c r="F29" s="134"/>
      <c r="G29" s="134"/>
      <c r="H29" s="134"/>
      <c r="I29" s="134"/>
      <c r="J29" s="134"/>
      <c r="K29" s="134"/>
      <c r="L29" s="134"/>
      <c r="M29" s="265"/>
      <c r="N29" s="134"/>
      <c r="O29" s="220">
        <f t="shared" si="0"/>
        <v>0</v>
      </c>
      <c r="P29" s="317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317">
        <f t="shared" si="1"/>
        <v>0</v>
      </c>
      <c r="AZ29" s="15">
        <f t="shared" si="2"/>
        <v>0</v>
      </c>
    </row>
    <row r="30" spans="1:52" ht="15">
      <c r="A30" s="54">
        <v>26</v>
      </c>
      <c r="B30" s="140" t="s">
        <v>397</v>
      </c>
      <c r="C30" s="165" t="s">
        <v>398</v>
      </c>
      <c r="D30" s="283"/>
      <c r="E30" s="134"/>
      <c r="F30" s="134"/>
      <c r="G30" s="134"/>
      <c r="H30" s="134"/>
      <c r="I30" s="134"/>
      <c r="J30" s="134"/>
      <c r="K30" s="134"/>
      <c r="L30" s="134"/>
      <c r="M30" s="265"/>
      <c r="N30" s="134"/>
      <c r="O30" s="220">
        <f t="shared" si="0"/>
        <v>0</v>
      </c>
      <c r="P30" s="317">
        <f>'[3]851011_091110'!$E$31</f>
        <v>10</v>
      </c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>
        <v>80</v>
      </c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317">
        <f t="shared" si="1"/>
        <v>80</v>
      </c>
      <c r="AZ30" s="15">
        <f t="shared" si="2"/>
        <v>90</v>
      </c>
    </row>
    <row r="31" spans="1:52" ht="15">
      <c r="A31" s="55">
        <v>27</v>
      </c>
      <c r="B31" s="142" t="s">
        <v>399</v>
      </c>
      <c r="C31" s="143" t="s">
        <v>400</v>
      </c>
      <c r="D31" s="283">
        <v>0</v>
      </c>
      <c r="E31" s="134"/>
      <c r="F31" s="134"/>
      <c r="G31" s="134"/>
      <c r="H31" s="134"/>
      <c r="I31" s="134"/>
      <c r="J31" s="134"/>
      <c r="K31" s="134"/>
      <c r="L31" s="134"/>
      <c r="M31" s="265"/>
      <c r="N31" s="134"/>
      <c r="O31" s="220">
        <f t="shared" si="0"/>
        <v>0</v>
      </c>
      <c r="P31" s="317">
        <f>'[3]851011_091110'!$E$32</f>
        <v>10</v>
      </c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>
        <f>'[3]841154_013350'!$E$32</f>
        <v>120</v>
      </c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>
        <f>'[3]910123_082092'!$E$32</f>
        <v>40</v>
      </c>
      <c r="AU31" s="134">
        <f>'[3]910502_082902'!$E$33</f>
        <v>20</v>
      </c>
      <c r="AV31" s="134"/>
      <c r="AW31" s="134"/>
      <c r="AX31" s="134"/>
      <c r="AY31" s="317">
        <f t="shared" si="1"/>
        <v>180</v>
      </c>
      <c r="AZ31" s="15">
        <f t="shared" si="2"/>
        <v>190</v>
      </c>
    </row>
    <row r="32" spans="1:52" ht="15">
      <c r="A32" s="54">
        <v>28</v>
      </c>
      <c r="B32" s="142" t="s">
        <v>401</v>
      </c>
      <c r="C32" s="143" t="s">
        <v>402</v>
      </c>
      <c r="D32" s="283">
        <v>0</v>
      </c>
      <c r="E32" s="134"/>
      <c r="F32" s="134"/>
      <c r="G32" s="134"/>
      <c r="H32" s="134"/>
      <c r="I32" s="134"/>
      <c r="J32" s="134"/>
      <c r="K32" s="134"/>
      <c r="L32" s="134"/>
      <c r="M32" s="265"/>
      <c r="N32" s="134"/>
      <c r="O32" s="220">
        <f t="shared" si="0"/>
        <v>0</v>
      </c>
      <c r="P32" s="317">
        <f>'[3]851011_091110'!$E$33</f>
        <v>7</v>
      </c>
      <c r="Q32" s="134"/>
      <c r="R32" s="134"/>
      <c r="S32" s="134"/>
      <c r="T32" s="134"/>
      <c r="U32" s="134">
        <f>'[3]562913_096020'!$E$33</f>
        <v>10</v>
      </c>
      <c r="V32" s="134"/>
      <c r="W32" s="134"/>
      <c r="X32" s="134"/>
      <c r="Y32" s="134"/>
      <c r="Z32" s="134"/>
      <c r="AA32" s="134"/>
      <c r="AB32" s="134"/>
      <c r="AC32" s="134"/>
      <c r="AD32" s="134">
        <f>'[3]841154_013350'!$E$33</f>
        <v>550</v>
      </c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317">
        <f t="shared" si="1"/>
        <v>560</v>
      </c>
      <c r="AZ32" s="15">
        <f t="shared" si="2"/>
        <v>567</v>
      </c>
    </row>
    <row r="33" spans="1:52" ht="15">
      <c r="A33" s="54">
        <v>29</v>
      </c>
      <c r="B33" s="142" t="s">
        <v>403</v>
      </c>
      <c r="C33" s="143" t="s">
        <v>404</v>
      </c>
      <c r="D33" s="283">
        <v>0</v>
      </c>
      <c r="E33" s="134"/>
      <c r="F33" s="134"/>
      <c r="G33" s="134"/>
      <c r="H33" s="134"/>
      <c r="I33" s="134"/>
      <c r="J33" s="134"/>
      <c r="K33" s="134"/>
      <c r="L33" s="134"/>
      <c r="M33" s="265"/>
      <c r="N33" s="134"/>
      <c r="O33" s="220">
        <f t="shared" si="0"/>
        <v>0</v>
      </c>
      <c r="P33" s="317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>
        <f>'[3]841154_013350'!$E$34</f>
        <v>40</v>
      </c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317">
        <f t="shared" si="1"/>
        <v>40</v>
      </c>
      <c r="AZ33" s="15">
        <f t="shared" si="2"/>
        <v>40</v>
      </c>
    </row>
    <row r="34" spans="1:52" ht="15">
      <c r="A34" s="54">
        <v>30</v>
      </c>
      <c r="B34" s="142" t="s">
        <v>405</v>
      </c>
      <c r="C34" s="143" t="s">
        <v>406</v>
      </c>
      <c r="D34" s="283">
        <f>'[2]841112_011130'!$E$32</f>
        <v>20</v>
      </c>
      <c r="E34" s="134"/>
      <c r="F34" s="134"/>
      <c r="G34" s="134"/>
      <c r="H34" s="134"/>
      <c r="I34" s="134"/>
      <c r="J34" s="134"/>
      <c r="K34" s="134"/>
      <c r="L34" s="134"/>
      <c r="M34" s="265"/>
      <c r="N34" s="134"/>
      <c r="O34" s="220">
        <f t="shared" si="0"/>
        <v>20</v>
      </c>
      <c r="P34" s="317">
        <f>'[3]851011_091110'!$E$35</f>
        <v>450</v>
      </c>
      <c r="Q34" s="134"/>
      <c r="R34" s="134"/>
      <c r="S34" s="134"/>
      <c r="T34" s="134"/>
      <c r="U34" s="134">
        <f>'[3]562913_096020'!$E$35</f>
        <v>150</v>
      </c>
      <c r="V34" s="134"/>
      <c r="W34" s="134"/>
      <c r="X34" s="134"/>
      <c r="Y34" s="134"/>
      <c r="Z34" s="134"/>
      <c r="AA34" s="134"/>
      <c r="AB34" s="134"/>
      <c r="AC34" s="134">
        <f>'[3]813000_066010'!$E$35</f>
        <v>111</v>
      </c>
      <c r="AD34" s="134">
        <f>'[3]841154_013350'!$E$35</f>
        <v>50</v>
      </c>
      <c r="AE34" s="134"/>
      <c r="AF34" s="134"/>
      <c r="AG34" s="134"/>
      <c r="AH34" s="134">
        <f>'[3]852011_013350'!$E$35</f>
        <v>57</v>
      </c>
      <c r="AI34" s="134"/>
      <c r="AJ34" s="134"/>
      <c r="AK34" s="134"/>
      <c r="AL34" s="134"/>
      <c r="AM34" s="134">
        <f>'[3]869041_074031'!$E$35</f>
        <v>50</v>
      </c>
      <c r="AN34" s="134"/>
      <c r="AO34" s="134"/>
      <c r="AP34" s="134">
        <f>'[3]889928_107055'!$E$35</f>
        <v>50</v>
      </c>
      <c r="AQ34" s="134"/>
      <c r="AR34" s="134"/>
      <c r="AS34" s="134"/>
      <c r="AT34" s="134">
        <f>'[3]910123_082092'!$E$35</f>
        <v>130</v>
      </c>
      <c r="AU34" s="134"/>
      <c r="AV34" s="134"/>
      <c r="AW34" s="134">
        <v>262</v>
      </c>
      <c r="AX34" s="134"/>
      <c r="AY34" s="317">
        <f t="shared" si="1"/>
        <v>860</v>
      </c>
      <c r="AZ34" s="15">
        <f t="shared" si="2"/>
        <v>1330</v>
      </c>
    </row>
    <row r="35" spans="1:52" ht="15.75">
      <c r="A35" s="54">
        <v>31</v>
      </c>
      <c r="B35" s="142" t="s">
        <v>407</v>
      </c>
      <c r="C35" s="166" t="s">
        <v>408</v>
      </c>
      <c r="D35" s="270">
        <f>SUM(D30:D34)</f>
        <v>20</v>
      </c>
      <c r="E35" s="204">
        <f aca="true" t="shared" si="7" ref="E35:AX35">SUM(E30:E34)</f>
        <v>0</v>
      </c>
      <c r="F35" s="204"/>
      <c r="G35" s="204">
        <f t="shared" si="7"/>
        <v>0</v>
      </c>
      <c r="H35" s="204">
        <f t="shared" si="7"/>
        <v>0</v>
      </c>
      <c r="I35" s="204">
        <f t="shared" si="7"/>
        <v>0</v>
      </c>
      <c r="J35" s="204">
        <f t="shared" si="7"/>
        <v>0</v>
      </c>
      <c r="K35" s="204">
        <f t="shared" si="7"/>
        <v>0</v>
      </c>
      <c r="L35" s="204">
        <f t="shared" si="7"/>
        <v>0</v>
      </c>
      <c r="M35" s="270">
        <f t="shared" si="7"/>
        <v>0</v>
      </c>
      <c r="N35" s="204">
        <f t="shared" si="7"/>
        <v>0</v>
      </c>
      <c r="O35" s="220">
        <f t="shared" si="0"/>
        <v>20</v>
      </c>
      <c r="P35" s="323">
        <f t="shared" si="7"/>
        <v>477</v>
      </c>
      <c r="Q35" s="204">
        <f t="shared" si="7"/>
        <v>0</v>
      </c>
      <c r="R35" s="204">
        <f t="shared" si="7"/>
        <v>0</v>
      </c>
      <c r="S35" s="204">
        <f t="shared" si="7"/>
        <v>0</v>
      </c>
      <c r="T35" s="204">
        <f t="shared" si="7"/>
        <v>0</v>
      </c>
      <c r="U35" s="204">
        <f t="shared" si="7"/>
        <v>160</v>
      </c>
      <c r="V35" s="204">
        <f t="shared" si="7"/>
        <v>0</v>
      </c>
      <c r="W35" s="204">
        <f t="shared" si="7"/>
        <v>0</v>
      </c>
      <c r="X35" s="204">
        <f t="shared" si="7"/>
        <v>0</v>
      </c>
      <c r="Y35" s="204">
        <f t="shared" si="7"/>
        <v>0</v>
      </c>
      <c r="Z35" s="204">
        <f t="shared" si="7"/>
        <v>0</v>
      </c>
      <c r="AA35" s="204">
        <f t="shared" si="7"/>
        <v>0</v>
      </c>
      <c r="AB35" s="204">
        <f t="shared" si="7"/>
        <v>0</v>
      </c>
      <c r="AC35" s="204">
        <f t="shared" si="7"/>
        <v>111</v>
      </c>
      <c r="AD35" s="204">
        <f t="shared" si="7"/>
        <v>760</v>
      </c>
      <c r="AE35" s="204">
        <f t="shared" si="7"/>
        <v>0</v>
      </c>
      <c r="AF35" s="204">
        <f t="shared" si="7"/>
        <v>0</v>
      </c>
      <c r="AG35" s="204">
        <f t="shared" si="7"/>
        <v>0</v>
      </c>
      <c r="AH35" s="204">
        <f t="shared" si="7"/>
        <v>57</v>
      </c>
      <c r="AI35" s="204">
        <f t="shared" si="7"/>
        <v>80</v>
      </c>
      <c r="AJ35" s="204">
        <f t="shared" si="7"/>
        <v>0</v>
      </c>
      <c r="AK35" s="204">
        <f t="shared" si="7"/>
        <v>0</v>
      </c>
      <c r="AL35" s="204">
        <f t="shared" si="7"/>
        <v>0</v>
      </c>
      <c r="AM35" s="204">
        <f t="shared" si="7"/>
        <v>50</v>
      </c>
      <c r="AN35" s="204">
        <f t="shared" si="7"/>
        <v>0</v>
      </c>
      <c r="AO35" s="204">
        <f t="shared" si="7"/>
        <v>0</v>
      </c>
      <c r="AP35" s="204">
        <f t="shared" si="7"/>
        <v>50</v>
      </c>
      <c r="AQ35" s="204">
        <f t="shared" si="7"/>
        <v>0</v>
      </c>
      <c r="AR35" s="204">
        <f t="shared" si="7"/>
        <v>0</v>
      </c>
      <c r="AS35" s="204">
        <f t="shared" si="7"/>
        <v>0</v>
      </c>
      <c r="AT35" s="204">
        <f t="shared" si="7"/>
        <v>170</v>
      </c>
      <c r="AU35" s="204">
        <f t="shared" si="7"/>
        <v>20</v>
      </c>
      <c r="AV35" s="204">
        <f t="shared" si="7"/>
        <v>0</v>
      </c>
      <c r="AW35" s="204">
        <f t="shared" si="7"/>
        <v>262</v>
      </c>
      <c r="AX35" s="204">
        <f t="shared" si="7"/>
        <v>0</v>
      </c>
      <c r="AY35" s="317">
        <f t="shared" si="1"/>
        <v>1720</v>
      </c>
      <c r="AZ35" s="15">
        <f t="shared" si="2"/>
        <v>2217</v>
      </c>
    </row>
    <row r="36" spans="1:52" ht="15.75">
      <c r="A36" s="55">
        <v>32</v>
      </c>
      <c r="B36" s="142" t="s">
        <v>409</v>
      </c>
      <c r="C36" s="143" t="s">
        <v>410</v>
      </c>
      <c r="D36" s="270"/>
      <c r="E36" s="134"/>
      <c r="F36" s="134"/>
      <c r="G36" s="134"/>
      <c r="H36" s="134"/>
      <c r="I36" s="134"/>
      <c r="J36" s="134"/>
      <c r="K36" s="134"/>
      <c r="L36" s="134"/>
      <c r="M36" s="265"/>
      <c r="N36" s="134"/>
      <c r="O36" s="220">
        <f t="shared" si="0"/>
        <v>0</v>
      </c>
      <c r="P36" s="317"/>
      <c r="Q36" s="134"/>
      <c r="R36" s="134"/>
      <c r="S36" s="134"/>
      <c r="T36" s="134">
        <f>'[3]562912_096010'!$E$37</f>
        <v>3556</v>
      </c>
      <c r="U36" s="134">
        <v>10023</v>
      </c>
      <c r="V36" s="134">
        <f>'[3]562917_999999'!$E$37</f>
        <v>2602</v>
      </c>
      <c r="W36" s="134">
        <f>'[3]562916_081071'!$E$37</f>
        <v>2088</v>
      </c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>
        <f>'[3]889921_107051'!$E$37</f>
        <v>1119</v>
      </c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317">
        <f t="shared" si="1"/>
        <v>19388</v>
      </c>
      <c r="AZ36" s="15">
        <f t="shared" si="2"/>
        <v>19388</v>
      </c>
    </row>
    <row r="37" spans="1:52" ht="15">
      <c r="A37" s="54">
        <v>33</v>
      </c>
      <c r="B37" s="142" t="s">
        <v>411</v>
      </c>
      <c r="C37" s="143" t="s">
        <v>412</v>
      </c>
      <c r="D37" s="283">
        <v>0</v>
      </c>
      <c r="E37" s="134"/>
      <c r="F37" s="134"/>
      <c r="G37" s="134"/>
      <c r="H37" s="134"/>
      <c r="I37" s="134"/>
      <c r="J37" s="134"/>
      <c r="K37" s="134"/>
      <c r="L37" s="134"/>
      <c r="M37" s="265"/>
      <c r="N37" s="134"/>
      <c r="O37" s="220">
        <f t="shared" si="0"/>
        <v>0</v>
      </c>
      <c r="P37" s="317">
        <f>'[3]851011_091110'!$E$38</f>
        <v>61</v>
      </c>
      <c r="Q37" s="134"/>
      <c r="R37" s="134"/>
      <c r="S37" s="134"/>
      <c r="T37" s="134"/>
      <c r="U37" s="134">
        <f>'[3]562913_096020'!$E$38</f>
        <v>120</v>
      </c>
      <c r="V37" s="134"/>
      <c r="W37" s="134"/>
      <c r="X37" s="134"/>
      <c r="Y37" s="134"/>
      <c r="Z37" s="134"/>
      <c r="AA37" s="134"/>
      <c r="AB37" s="134"/>
      <c r="AC37" s="134">
        <f>'[3]813000_066010'!$E$38</f>
        <v>100</v>
      </c>
      <c r="AD37" s="134">
        <f>'[3]841154_013350'!$E$38</f>
        <v>1400</v>
      </c>
      <c r="AE37" s="134"/>
      <c r="AF37" s="134"/>
      <c r="AG37" s="134"/>
      <c r="AH37" s="134"/>
      <c r="AI37" s="134">
        <v>75</v>
      </c>
      <c r="AJ37" s="134"/>
      <c r="AK37" s="134"/>
      <c r="AL37" s="134"/>
      <c r="AM37" s="134">
        <f>'[3]869041_074031'!$E$38</f>
        <v>25</v>
      </c>
      <c r="AN37" s="134"/>
      <c r="AO37" s="134"/>
      <c r="AP37" s="134">
        <f>'[3]889928_107055'!$E$38</f>
        <v>10</v>
      </c>
      <c r="AQ37" s="134"/>
      <c r="AR37" s="134"/>
      <c r="AS37" s="134"/>
      <c r="AT37" s="134"/>
      <c r="AU37" s="134"/>
      <c r="AV37" s="134"/>
      <c r="AW37" s="134"/>
      <c r="AX37" s="134"/>
      <c r="AY37" s="317">
        <f t="shared" si="1"/>
        <v>1730</v>
      </c>
      <c r="AZ37" s="15">
        <f t="shared" si="2"/>
        <v>1791</v>
      </c>
    </row>
    <row r="38" spans="1:52" ht="15">
      <c r="A38" s="54">
        <v>34</v>
      </c>
      <c r="B38" s="142" t="s">
        <v>413</v>
      </c>
      <c r="C38" s="143" t="s">
        <v>414</v>
      </c>
      <c r="D38" s="283">
        <f>'[2]841112_011130'!$E$33</f>
        <v>240</v>
      </c>
      <c r="E38" s="134"/>
      <c r="F38" s="134"/>
      <c r="G38" s="134"/>
      <c r="H38" s="134"/>
      <c r="I38" s="134"/>
      <c r="J38" s="134"/>
      <c r="K38" s="134"/>
      <c r="L38" s="134"/>
      <c r="M38" s="265"/>
      <c r="N38" s="134"/>
      <c r="O38" s="220">
        <f t="shared" si="0"/>
        <v>240</v>
      </c>
      <c r="P38" s="317"/>
      <c r="Q38" s="134"/>
      <c r="R38" s="134">
        <f>'[3]381103_051030'!$E$39</f>
        <v>1500</v>
      </c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>
        <f>'[3]813000_066010'!$E$39</f>
        <v>3000</v>
      </c>
      <c r="AD38" s="134">
        <f>'[3]841154_013350'!$E$39</f>
        <v>0</v>
      </c>
      <c r="AE38" s="134"/>
      <c r="AF38" s="134"/>
      <c r="AG38" s="134"/>
      <c r="AH38" s="134"/>
      <c r="AI38" s="134"/>
      <c r="AJ38" s="134"/>
      <c r="AK38" s="134"/>
      <c r="AL38" s="134"/>
      <c r="AM38" s="134">
        <f>'[3]869041_074031'!$E$39</f>
        <v>0</v>
      </c>
      <c r="AN38" s="134"/>
      <c r="AO38" s="134"/>
      <c r="AP38" s="134">
        <f>'[3]889928_107055'!$E$39</f>
        <v>800</v>
      </c>
      <c r="AQ38" s="134"/>
      <c r="AR38" s="134"/>
      <c r="AS38" s="134"/>
      <c r="AT38" s="134"/>
      <c r="AU38" s="134"/>
      <c r="AV38" s="134"/>
      <c r="AW38" s="134"/>
      <c r="AX38" s="134"/>
      <c r="AY38" s="317">
        <f t="shared" si="1"/>
        <v>5300</v>
      </c>
      <c r="AZ38" s="15">
        <f t="shared" si="2"/>
        <v>5540</v>
      </c>
    </row>
    <row r="39" spans="1:52" ht="15">
      <c r="A39" s="54">
        <v>35</v>
      </c>
      <c r="B39" s="142" t="s">
        <v>415</v>
      </c>
      <c r="C39" s="143" t="s">
        <v>416</v>
      </c>
      <c r="D39" s="283">
        <v>0</v>
      </c>
      <c r="E39" s="134"/>
      <c r="F39" s="134"/>
      <c r="G39" s="134"/>
      <c r="H39" s="134"/>
      <c r="I39" s="134"/>
      <c r="J39" s="134"/>
      <c r="K39" s="134"/>
      <c r="L39" s="134"/>
      <c r="M39" s="265"/>
      <c r="N39" s="134"/>
      <c r="O39" s="220">
        <f t="shared" si="0"/>
        <v>0</v>
      </c>
      <c r="P39" s="317">
        <f>'[3]851011_091110'!$E$40</f>
        <v>100</v>
      </c>
      <c r="Q39" s="134"/>
      <c r="R39" s="134">
        <f>'[3]381103_051030'!$E$40</f>
        <v>120</v>
      </c>
      <c r="S39" s="134">
        <f>'[3]522000_045160'!$E$40</f>
        <v>80</v>
      </c>
      <c r="T39" s="134"/>
      <c r="U39" s="134">
        <v>90</v>
      </c>
      <c r="V39" s="134"/>
      <c r="W39" s="134"/>
      <c r="X39" s="134"/>
      <c r="Y39" s="134"/>
      <c r="Z39" s="134"/>
      <c r="AA39" s="134"/>
      <c r="AB39" s="134">
        <f>'[3]811000_013350'!$E$40</f>
        <v>120</v>
      </c>
      <c r="AC39" s="134">
        <f>'[3]813000_066010'!$E$40</f>
        <v>200</v>
      </c>
      <c r="AD39" s="134">
        <f>'[3]841154_013350'!$E$40</f>
        <v>20</v>
      </c>
      <c r="AE39" s="134"/>
      <c r="AF39" s="134"/>
      <c r="AG39" s="134"/>
      <c r="AH39" s="134"/>
      <c r="AI39" s="134">
        <f>'[3]862101_072111'!$E$40</f>
        <v>20</v>
      </c>
      <c r="AJ39" s="134"/>
      <c r="AK39" s="134"/>
      <c r="AL39" s="134"/>
      <c r="AM39" s="134">
        <f>'[3]869041_074031'!$E$40</f>
        <v>20</v>
      </c>
      <c r="AN39" s="134"/>
      <c r="AO39" s="134"/>
      <c r="AP39" s="134">
        <f>'[3]889928_107055'!$E$40</f>
        <v>40</v>
      </c>
      <c r="AQ39" s="134"/>
      <c r="AR39" s="134"/>
      <c r="AS39" s="134">
        <f>'[3]890444_041231'!$E$40</f>
        <v>108</v>
      </c>
      <c r="AT39" s="134"/>
      <c r="AU39" s="134">
        <f>'[3]910502_082902'!$E$40</f>
        <v>20</v>
      </c>
      <c r="AV39" s="134"/>
      <c r="AW39" s="134"/>
      <c r="AX39" s="134">
        <f>'[3]960302_013320'!$E$40</f>
        <v>20</v>
      </c>
      <c r="AY39" s="317">
        <f t="shared" si="1"/>
        <v>858</v>
      </c>
      <c r="AZ39" s="15">
        <f t="shared" si="2"/>
        <v>958</v>
      </c>
    </row>
    <row r="40" spans="1:52" ht="15.75" thickBot="1">
      <c r="A40" s="54">
        <v>36</v>
      </c>
      <c r="B40" s="167" t="s">
        <v>417</v>
      </c>
      <c r="C40" s="168" t="s">
        <v>418</v>
      </c>
      <c r="D40" s="283">
        <v>0</v>
      </c>
      <c r="E40" s="134"/>
      <c r="F40" s="134"/>
      <c r="G40" s="134"/>
      <c r="H40" s="134"/>
      <c r="I40" s="134"/>
      <c r="J40" s="134"/>
      <c r="K40" s="134"/>
      <c r="L40" s="134"/>
      <c r="M40" s="265"/>
      <c r="N40" s="134"/>
      <c r="O40" s="220">
        <f t="shared" si="0"/>
        <v>0</v>
      </c>
      <c r="P40" s="317">
        <f>'[3]851011_091110'!$E$41</f>
        <v>403</v>
      </c>
      <c r="Q40" s="134"/>
      <c r="R40" s="134">
        <f>'[3]381103_051030'!$E$41</f>
        <v>350</v>
      </c>
      <c r="S40" s="134">
        <f>'[3]522000_045160'!$E$41</f>
        <v>1250</v>
      </c>
      <c r="T40" s="134"/>
      <c r="U40" s="134">
        <f>'[3]562913_096020'!$E$41</f>
        <v>520</v>
      </c>
      <c r="V40" s="134"/>
      <c r="W40" s="134"/>
      <c r="X40" s="134">
        <f>'[3]680001_013350'!$E$41</f>
        <v>100</v>
      </c>
      <c r="Y40" s="134">
        <f>'[3]680002_013350'!$E$41</f>
        <v>100</v>
      </c>
      <c r="Z40" s="134"/>
      <c r="AA40" s="134"/>
      <c r="AB40" s="134"/>
      <c r="AC40" s="134">
        <f>'[3]813000_066010'!$E$41</f>
        <v>2320</v>
      </c>
      <c r="AD40" s="134">
        <f>'[3]841154_013350'!$E$41</f>
        <v>400</v>
      </c>
      <c r="AE40" s="134"/>
      <c r="AF40" s="134">
        <v>319</v>
      </c>
      <c r="AG40" s="134"/>
      <c r="AH40" s="134">
        <v>55</v>
      </c>
      <c r="AI40" s="134">
        <v>100</v>
      </c>
      <c r="AJ40" s="134"/>
      <c r="AK40" s="134"/>
      <c r="AL40" s="134"/>
      <c r="AM40" s="134">
        <f>'[3]869041_074031'!$E$41</f>
        <v>0</v>
      </c>
      <c r="AN40" s="134"/>
      <c r="AO40" s="134"/>
      <c r="AP40" s="134">
        <f>'[3]889928_107055'!$E$41</f>
        <v>100</v>
      </c>
      <c r="AQ40" s="134"/>
      <c r="AR40" s="134">
        <v>200</v>
      </c>
      <c r="AS40" s="134"/>
      <c r="AT40" s="134">
        <f>'[3]910123_082092'!$E$41</f>
        <v>20</v>
      </c>
      <c r="AU40" s="134">
        <v>223</v>
      </c>
      <c r="AV40" s="134">
        <f>'[3]932911_081061'!$E$41</f>
        <v>330</v>
      </c>
      <c r="AW40" s="134"/>
      <c r="AX40" s="134">
        <f>'[3]960302_013320'!$E$41</f>
        <v>30</v>
      </c>
      <c r="AY40" s="317">
        <f t="shared" si="1"/>
        <v>6417</v>
      </c>
      <c r="AZ40" s="15">
        <f t="shared" si="2"/>
        <v>6820</v>
      </c>
    </row>
    <row r="41" spans="1:52" ht="17.25" customHeight="1" thickBot="1">
      <c r="A41" s="55">
        <v>37</v>
      </c>
      <c r="B41" s="152" t="s">
        <v>419</v>
      </c>
      <c r="C41" s="169" t="s">
        <v>420</v>
      </c>
      <c r="D41" s="267">
        <f aca="true" t="shared" si="8" ref="D41:N41">SUM(D37:D40)</f>
        <v>240</v>
      </c>
      <c r="E41" s="202">
        <f t="shared" si="8"/>
        <v>0</v>
      </c>
      <c r="F41" s="202"/>
      <c r="G41" s="202">
        <f t="shared" si="8"/>
        <v>0</v>
      </c>
      <c r="H41" s="202">
        <f t="shared" si="8"/>
        <v>0</v>
      </c>
      <c r="I41" s="202">
        <f t="shared" si="8"/>
        <v>0</v>
      </c>
      <c r="J41" s="202">
        <f t="shared" si="8"/>
        <v>0</v>
      </c>
      <c r="K41" s="202">
        <f t="shared" si="8"/>
        <v>0</v>
      </c>
      <c r="L41" s="202">
        <f t="shared" si="8"/>
        <v>0</v>
      </c>
      <c r="M41" s="267">
        <f t="shared" si="8"/>
        <v>0</v>
      </c>
      <c r="N41" s="202">
        <f t="shared" si="8"/>
        <v>0</v>
      </c>
      <c r="O41" s="220">
        <f t="shared" si="0"/>
        <v>240</v>
      </c>
      <c r="P41" s="319">
        <f>SUM(P37:P40)</f>
        <v>564</v>
      </c>
      <c r="Q41" s="202">
        <f>SUM(Q36:Q40)</f>
        <v>0</v>
      </c>
      <c r="R41" s="202">
        <f>SUM(R36:R40)</f>
        <v>1970</v>
      </c>
      <c r="S41" s="202">
        <f>SUM(S36:S40)</f>
        <v>1330</v>
      </c>
      <c r="T41" s="202">
        <f>SUM(T36:T40)</f>
        <v>3556</v>
      </c>
      <c r="U41" s="202">
        <f aca="true" t="shared" si="9" ref="U41:AY41">SUM(U36:U40)</f>
        <v>10753</v>
      </c>
      <c r="V41" s="202">
        <f t="shared" si="9"/>
        <v>2602</v>
      </c>
      <c r="W41" s="202">
        <f t="shared" si="9"/>
        <v>2088</v>
      </c>
      <c r="X41" s="202">
        <f t="shared" si="9"/>
        <v>100</v>
      </c>
      <c r="Y41" s="202">
        <f t="shared" si="9"/>
        <v>100</v>
      </c>
      <c r="Z41" s="202">
        <f t="shared" si="9"/>
        <v>0</v>
      </c>
      <c r="AA41" s="202">
        <f t="shared" si="9"/>
        <v>0</v>
      </c>
      <c r="AB41" s="202">
        <f t="shared" si="9"/>
        <v>120</v>
      </c>
      <c r="AC41" s="202">
        <f t="shared" si="9"/>
        <v>5620</v>
      </c>
      <c r="AD41" s="202">
        <f t="shared" si="9"/>
        <v>1820</v>
      </c>
      <c r="AE41" s="202">
        <f t="shared" si="9"/>
        <v>0</v>
      </c>
      <c r="AF41" s="202">
        <f t="shared" si="9"/>
        <v>319</v>
      </c>
      <c r="AG41" s="202">
        <f t="shared" si="9"/>
        <v>0</v>
      </c>
      <c r="AH41" s="202">
        <f t="shared" si="9"/>
        <v>55</v>
      </c>
      <c r="AI41" s="202">
        <f t="shared" si="9"/>
        <v>195</v>
      </c>
      <c r="AJ41" s="202">
        <f t="shared" si="9"/>
        <v>0</v>
      </c>
      <c r="AK41" s="202">
        <f t="shared" si="9"/>
        <v>0</v>
      </c>
      <c r="AL41" s="202">
        <f t="shared" si="9"/>
        <v>0</v>
      </c>
      <c r="AM41" s="202">
        <f t="shared" si="9"/>
        <v>45</v>
      </c>
      <c r="AN41" s="202">
        <f t="shared" si="9"/>
        <v>1119</v>
      </c>
      <c r="AO41" s="202">
        <f t="shared" si="9"/>
        <v>0</v>
      </c>
      <c r="AP41" s="202">
        <f t="shared" si="9"/>
        <v>950</v>
      </c>
      <c r="AQ41" s="202">
        <f t="shared" si="9"/>
        <v>0</v>
      </c>
      <c r="AR41" s="202">
        <f t="shared" si="9"/>
        <v>200</v>
      </c>
      <c r="AS41" s="202">
        <f t="shared" si="9"/>
        <v>108</v>
      </c>
      <c r="AT41" s="202">
        <f t="shared" si="9"/>
        <v>20</v>
      </c>
      <c r="AU41" s="202">
        <f t="shared" si="9"/>
        <v>243</v>
      </c>
      <c r="AV41" s="202">
        <f t="shared" si="9"/>
        <v>330</v>
      </c>
      <c r="AW41" s="202">
        <f t="shared" si="9"/>
        <v>0</v>
      </c>
      <c r="AX41" s="202">
        <f t="shared" si="9"/>
        <v>50</v>
      </c>
      <c r="AY41" s="319">
        <f t="shared" si="9"/>
        <v>33693</v>
      </c>
      <c r="AZ41" s="15">
        <f t="shared" si="2"/>
        <v>34497</v>
      </c>
    </row>
    <row r="42" spans="1:52" ht="22.5" customHeight="1" thickBot="1">
      <c r="A42" s="54">
        <v>38</v>
      </c>
      <c r="B42" s="170" t="s">
        <v>421</v>
      </c>
      <c r="C42" s="171" t="s">
        <v>422</v>
      </c>
      <c r="D42" s="271">
        <f>SUM(D41,D35)</f>
        <v>260</v>
      </c>
      <c r="E42" s="205">
        <f aca="true" t="shared" si="10" ref="E42:AX42">SUM(E41,E35)</f>
        <v>0</v>
      </c>
      <c r="F42" s="205"/>
      <c r="G42" s="205">
        <f t="shared" si="10"/>
        <v>0</v>
      </c>
      <c r="H42" s="205">
        <f t="shared" si="10"/>
        <v>0</v>
      </c>
      <c r="I42" s="205">
        <f t="shared" si="10"/>
        <v>0</v>
      </c>
      <c r="J42" s="205">
        <f t="shared" si="10"/>
        <v>0</v>
      </c>
      <c r="K42" s="205">
        <f t="shared" si="10"/>
        <v>0</v>
      </c>
      <c r="L42" s="205">
        <f t="shared" si="10"/>
        <v>0</v>
      </c>
      <c r="M42" s="271">
        <f t="shared" si="10"/>
        <v>0</v>
      </c>
      <c r="N42" s="205">
        <f t="shared" si="10"/>
        <v>0</v>
      </c>
      <c r="O42" s="220">
        <f t="shared" si="0"/>
        <v>260</v>
      </c>
      <c r="P42" s="324">
        <f t="shared" si="10"/>
        <v>1041</v>
      </c>
      <c r="Q42" s="205">
        <f t="shared" si="10"/>
        <v>0</v>
      </c>
      <c r="R42" s="205">
        <f t="shared" si="10"/>
        <v>1970</v>
      </c>
      <c r="S42" s="205">
        <f t="shared" si="10"/>
        <v>1330</v>
      </c>
      <c r="T42" s="205">
        <f t="shared" si="10"/>
        <v>3556</v>
      </c>
      <c r="U42" s="205">
        <f t="shared" si="10"/>
        <v>10913</v>
      </c>
      <c r="V42" s="205">
        <f t="shared" si="10"/>
        <v>2602</v>
      </c>
      <c r="W42" s="205">
        <f t="shared" si="10"/>
        <v>2088</v>
      </c>
      <c r="X42" s="205">
        <f t="shared" si="10"/>
        <v>100</v>
      </c>
      <c r="Y42" s="205">
        <f t="shared" si="10"/>
        <v>100</v>
      </c>
      <c r="Z42" s="205">
        <f t="shared" si="10"/>
        <v>0</v>
      </c>
      <c r="AA42" s="205">
        <f t="shared" si="10"/>
        <v>0</v>
      </c>
      <c r="AB42" s="205">
        <f t="shared" si="10"/>
        <v>120</v>
      </c>
      <c r="AC42" s="205">
        <f t="shared" si="10"/>
        <v>5731</v>
      </c>
      <c r="AD42" s="205">
        <f t="shared" si="10"/>
        <v>2580</v>
      </c>
      <c r="AE42" s="205">
        <f t="shared" si="10"/>
        <v>0</v>
      </c>
      <c r="AF42" s="205">
        <f t="shared" si="10"/>
        <v>319</v>
      </c>
      <c r="AG42" s="205">
        <f t="shared" si="10"/>
        <v>0</v>
      </c>
      <c r="AH42" s="205">
        <f t="shared" si="10"/>
        <v>112</v>
      </c>
      <c r="AI42" s="205">
        <f t="shared" si="10"/>
        <v>275</v>
      </c>
      <c r="AJ42" s="205">
        <f t="shared" si="10"/>
        <v>0</v>
      </c>
      <c r="AK42" s="205">
        <f t="shared" si="10"/>
        <v>0</v>
      </c>
      <c r="AL42" s="205">
        <f t="shared" si="10"/>
        <v>0</v>
      </c>
      <c r="AM42" s="205">
        <f t="shared" si="10"/>
        <v>95</v>
      </c>
      <c r="AN42" s="205">
        <f t="shared" si="10"/>
        <v>1119</v>
      </c>
      <c r="AO42" s="205">
        <f t="shared" si="10"/>
        <v>0</v>
      </c>
      <c r="AP42" s="205">
        <f t="shared" si="10"/>
        <v>1000</v>
      </c>
      <c r="AQ42" s="205">
        <f t="shared" si="10"/>
        <v>0</v>
      </c>
      <c r="AR42" s="205">
        <f t="shared" si="10"/>
        <v>200</v>
      </c>
      <c r="AS42" s="205">
        <f t="shared" si="10"/>
        <v>108</v>
      </c>
      <c r="AT42" s="205">
        <f t="shared" si="10"/>
        <v>190</v>
      </c>
      <c r="AU42" s="205">
        <f t="shared" si="10"/>
        <v>263</v>
      </c>
      <c r="AV42" s="205">
        <f t="shared" si="10"/>
        <v>330</v>
      </c>
      <c r="AW42" s="205">
        <f t="shared" si="10"/>
        <v>262</v>
      </c>
      <c r="AX42" s="205">
        <f t="shared" si="10"/>
        <v>50</v>
      </c>
      <c r="AY42" s="317">
        <f t="shared" si="1"/>
        <v>35413</v>
      </c>
      <c r="AZ42" s="15">
        <f t="shared" si="2"/>
        <v>36714</v>
      </c>
    </row>
    <row r="43" spans="1:52" ht="15">
      <c r="A43" s="54">
        <v>39</v>
      </c>
      <c r="B43" s="140" t="s">
        <v>423</v>
      </c>
      <c r="C43" s="165" t="s">
        <v>424</v>
      </c>
      <c r="D43" s="283">
        <v>0</v>
      </c>
      <c r="E43" s="134"/>
      <c r="F43" s="134"/>
      <c r="G43" s="134"/>
      <c r="H43" s="134"/>
      <c r="I43" s="134"/>
      <c r="J43" s="134"/>
      <c r="K43" s="134"/>
      <c r="L43" s="134"/>
      <c r="M43" s="265"/>
      <c r="N43" s="134"/>
      <c r="O43" s="220">
        <f t="shared" si="0"/>
        <v>0</v>
      </c>
      <c r="P43" s="317">
        <f>'[3]851011_091110'!$E$44</f>
        <v>70</v>
      </c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>
        <f>'[3]841154_013350'!$E$44</f>
        <v>350</v>
      </c>
      <c r="AE43" s="134"/>
      <c r="AF43" s="134"/>
      <c r="AG43" s="134"/>
      <c r="AH43" s="134"/>
      <c r="AI43" s="134">
        <f>'[3]862101_072111'!$E$44</f>
        <v>86</v>
      </c>
      <c r="AJ43" s="134"/>
      <c r="AK43" s="134"/>
      <c r="AL43" s="134"/>
      <c r="AM43" s="134">
        <f>'[3]869041_074031'!$E$44</f>
        <v>60</v>
      </c>
      <c r="AN43" s="134"/>
      <c r="AO43" s="134"/>
      <c r="AP43" s="134"/>
      <c r="AQ43" s="134"/>
      <c r="AR43" s="134"/>
      <c r="AS43" s="134"/>
      <c r="AT43" s="134">
        <f>'[3]910123_082092'!$E$44</f>
        <v>130</v>
      </c>
      <c r="AU43" s="134"/>
      <c r="AV43" s="134"/>
      <c r="AW43" s="134"/>
      <c r="AX43" s="134"/>
      <c r="AY43" s="317">
        <f t="shared" si="1"/>
        <v>626</v>
      </c>
      <c r="AZ43" s="15">
        <f t="shared" si="2"/>
        <v>696</v>
      </c>
    </row>
    <row r="44" spans="1:52" ht="15">
      <c r="A44" s="54">
        <v>40</v>
      </c>
      <c r="B44" s="172" t="s">
        <v>425</v>
      </c>
      <c r="C44" s="173" t="s">
        <v>426</v>
      </c>
      <c r="D44" s="283"/>
      <c r="E44" s="134"/>
      <c r="F44" s="134"/>
      <c r="G44" s="134"/>
      <c r="H44" s="134"/>
      <c r="I44" s="134"/>
      <c r="J44" s="134"/>
      <c r="K44" s="134"/>
      <c r="L44" s="134"/>
      <c r="M44" s="265"/>
      <c r="N44" s="134"/>
      <c r="O44" s="220">
        <f t="shared" si="0"/>
        <v>0</v>
      </c>
      <c r="P44" s="317">
        <f>'[3]851011_091110'!$E$45</f>
        <v>10</v>
      </c>
      <c r="Q44" s="134"/>
      <c r="R44" s="134"/>
      <c r="S44" s="134"/>
      <c r="T44" s="134"/>
      <c r="U44" s="134">
        <f>'[3]562913_096020'!$E$45</f>
        <v>60</v>
      </c>
      <c r="V44" s="134"/>
      <c r="W44" s="134"/>
      <c r="X44" s="134"/>
      <c r="Y44" s="134"/>
      <c r="Z44" s="134"/>
      <c r="AA44" s="134"/>
      <c r="AB44" s="134"/>
      <c r="AC44" s="134"/>
      <c r="AD44" s="134">
        <f>'[3]841154_013350'!$E$45</f>
        <v>0</v>
      </c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317">
        <f t="shared" si="1"/>
        <v>60</v>
      </c>
      <c r="AZ44" s="15">
        <f t="shared" si="2"/>
        <v>70</v>
      </c>
    </row>
    <row r="45" spans="1:52" ht="15">
      <c r="A45" s="54">
        <v>41</v>
      </c>
      <c r="B45" s="142" t="s">
        <v>427</v>
      </c>
      <c r="C45" s="143" t="s">
        <v>428</v>
      </c>
      <c r="D45" s="283">
        <f>'[2]841112_011130'!$E$35</f>
        <v>300</v>
      </c>
      <c r="E45" s="134"/>
      <c r="F45" s="134"/>
      <c r="G45" s="134"/>
      <c r="H45" s="134"/>
      <c r="I45" s="134"/>
      <c r="J45" s="134"/>
      <c r="K45" s="134"/>
      <c r="L45" s="134"/>
      <c r="M45" s="265"/>
      <c r="N45" s="134"/>
      <c r="O45" s="220">
        <f t="shared" si="0"/>
        <v>300</v>
      </c>
      <c r="P45" s="317">
        <f>'[3]851011_091110'!$E$46</f>
        <v>90</v>
      </c>
      <c r="Q45" s="134"/>
      <c r="R45" s="134"/>
      <c r="S45" s="134"/>
      <c r="T45" s="134"/>
      <c r="U45" s="134">
        <f>'[3]562913_096020'!$E$46</f>
        <v>120</v>
      </c>
      <c r="V45" s="134"/>
      <c r="W45" s="134"/>
      <c r="X45" s="134"/>
      <c r="Y45" s="134"/>
      <c r="Z45" s="134"/>
      <c r="AA45" s="134"/>
      <c r="AB45" s="134"/>
      <c r="AC45" s="134">
        <f>'[3]813000_066010'!$E$46</f>
        <v>185</v>
      </c>
      <c r="AD45" s="134">
        <f>'[3]841154_013350'!$E$46</f>
        <v>500</v>
      </c>
      <c r="AE45" s="134"/>
      <c r="AF45" s="134"/>
      <c r="AG45" s="134"/>
      <c r="AH45" s="134">
        <f>'[3]852011_013350'!$E$46</f>
        <v>120</v>
      </c>
      <c r="AI45" s="134">
        <f>'[3]862101_072111'!$E$46</f>
        <v>150</v>
      </c>
      <c r="AJ45" s="134"/>
      <c r="AK45" s="134"/>
      <c r="AL45" s="134"/>
      <c r="AM45" s="134">
        <f>'[3]869041_074031'!$E$46</f>
        <v>50</v>
      </c>
      <c r="AN45" s="134"/>
      <c r="AO45" s="134"/>
      <c r="AP45" s="134">
        <f>'[3]889928_107055'!$E$46</f>
        <v>55</v>
      </c>
      <c r="AQ45" s="134"/>
      <c r="AR45" s="134"/>
      <c r="AS45" s="134"/>
      <c r="AT45" s="134">
        <f>'[3]910123_082092'!$E$46</f>
        <v>90</v>
      </c>
      <c r="AU45" s="134">
        <v>450</v>
      </c>
      <c r="AV45" s="134"/>
      <c r="AW45" s="134"/>
      <c r="AX45" s="134"/>
      <c r="AY45" s="317">
        <f t="shared" si="1"/>
        <v>1720</v>
      </c>
      <c r="AZ45" s="15">
        <f t="shared" si="2"/>
        <v>2110</v>
      </c>
    </row>
    <row r="46" spans="1:52" ht="15">
      <c r="A46" s="55">
        <v>42</v>
      </c>
      <c r="B46" s="174" t="s">
        <v>429</v>
      </c>
      <c r="C46" s="175" t="s">
        <v>430</v>
      </c>
      <c r="D46" s="272">
        <f>SUM(D43:D45)</f>
        <v>300</v>
      </c>
      <c r="E46" s="206">
        <f aca="true" t="shared" si="11" ref="E46:AX46">SUM(E43:E45)</f>
        <v>0</v>
      </c>
      <c r="F46" s="206"/>
      <c r="G46" s="206">
        <f t="shared" si="11"/>
        <v>0</v>
      </c>
      <c r="H46" s="206">
        <f t="shared" si="11"/>
        <v>0</v>
      </c>
      <c r="I46" s="206">
        <f t="shared" si="11"/>
        <v>0</v>
      </c>
      <c r="J46" s="206">
        <f t="shared" si="11"/>
        <v>0</v>
      </c>
      <c r="K46" s="206">
        <f t="shared" si="11"/>
        <v>0</v>
      </c>
      <c r="L46" s="206">
        <f t="shared" si="11"/>
        <v>0</v>
      </c>
      <c r="M46" s="272">
        <f t="shared" si="11"/>
        <v>0</v>
      </c>
      <c r="N46" s="206">
        <f t="shared" si="11"/>
        <v>0</v>
      </c>
      <c r="O46" s="220">
        <f t="shared" si="0"/>
        <v>300</v>
      </c>
      <c r="P46" s="325">
        <f t="shared" si="11"/>
        <v>170</v>
      </c>
      <c r="Q46" s="206">
        <f t="shared" si="11"/>
        <v>0</v>
      </c>
      <c r="R46" s="206">
        <f t="shared" si="11"/>
        <v>0</v>
      </c>
      <c r="S46" s="206">
        <f t="shared" si="11"/>
        <v>0</v>
      </c>
      <c r="T46" s="206">
        <f t="shared" si="11"/>
        <v>0</v>
      </c>
      <c r="U46" s="206">
        <f t="shared" si="11"/>
        <v>180</v>
      </c>
      <c r="V46" s="206">
        <f t="shared" si="11"/>
        <v>0</v>
      </c>
      <c r="W46" s="206">
        <f t="shared" si="11"/>
        <v>0</v>
      </c>
      <c r="X46" s="206">
        <f t="shared" si="11"/>
        <v>0</v>
      </c>
      <c r="Y46" s="206">
        <f t="shared" si="11"/>
        <v>0</v>
      </c>
      <c r="Z46" s="206">
        <f t="shared" si="11"/>
        <v>0</v>
      </c>
      <c r="AA46" s="206">
        <f t="shared" si="11"/>
        <v>0</v>
      </c>
      <c r="AB46" s="206">
        <f t="shared" si="11"/>
        <v>0</v>
      </c>
      <c r="AC46" s="206">
        <f t="shared" si="11"/>
        <v>185</v>
      </c>
      <c r="AD46" s="206">
        <f t="shared" si="11"/>
        <v>850</v>
      </c>
      <c r="AE46" s="206">
        <f t="shared" si="11"/>
        <v>0</v>
      </c>
      <c r="AF46" s="206">
        <f t="shared" si="11"/>
        <v>0</v>
      </c>
      <c r="AG46" s="206">
        <f t="shared" si="11"/>
        <v>0</v>
      </c>
      <c r="AH46" s="206">
        <f t="shared" si="11"/>
        <v>120</v>
      </c>
      <c r="AI46" s="206">
        <f t="shared" si="11"/>
        <v>236</v>
      </c>
      <c r="AJ46" s="206">
        <f t="shared" si="11"/>
        <v>0</v>
      </c>
      <c r="AK46" s="206">
        <f t="shared" si="11"/>
        <v>0</v>
      </c>
      <c r="AL46" s="206">
        <f t="shared" si="11"/>
        <v>0</v>
      </c>
      <c r="AM46" s="206">
        <f t="shared" si="11"/>
        <v>110</v>
      </c>
      <c r="AN46" s="206">
        <f t="shared" si="11"/>
        <v>0</v>
      </c>
      <c r="AO46" s="206">
        <f t="shared" si="11"/>
        <v>0</v>
      </c>
      <c r="AP46" s="206">
        <f t="shared" si="11"/>
        <v>55</v>
      </c>
      <c r="AQ46" s="206">
        <f t="shared" si="11"/>
        <v>0</v>
      </c>
      <c r="AR46" s="206">
        <f t="shared" si="11"/>
        <v>0</v>
      </c>
      <c r="AS46" s="206">
        <f t="shared" si="11"/>
        <v>0</v>
      </c>
      <c r="AT46" s="206">
        <f t="shared" si="11"/>
        <v>220</v>
      </c>
      <c r="AU46" s="206">
        <f t="shared" si="11"/>
        <v>450</v>
      </c>
      <c r="AV46" s="206">
        <f t="shared" si="11"/>
        <v>0</v>
      </c>
      <c r="AW46" s="206">
        <f t="shared" si="11"/>
        <v>0</v>
      </c>
      <c r="AX46" s="206">
        <f t="shared" si="11"/>
        <v>0</v>
      </c>
      <c r="AY46" s="317">
        <f t="shared" si="1"/>
        <v>2406</v>
      </c>
      <c r="AZ46" s="15">
        <f t="shared" si="2"/>
        <v>2876</v>
      </c>
    </row>
    <row r="47" spans="1:52" ht="15">
      <c r="A47" s="54">
        <v>43</v>
      </c>
      <c r="B47" s="142" t="s">
        <v>431</v>
      </c>
      <c r="C47" s="143" t="s">
        <v>432</v>
      </c>
      <c r="D47" s="283">
        <v>0</v>
      </c>
      <c r="E47" s="134"/>
      <c r="F47" s="134"/>
      <c r="G47" s="134"/>
      <c r="H47" s="134"/>
      <c r="I47" s="134"/>
      <c r="J47" s="134"/>
      <c r="K47" s="134"/>
      <c r="L47" s="134"/>
      <c r="M47" s="265"/>
      <c r="N47" s="134"/>
      <c r="O47" s="220">
        <f t="shared" si="0"/>
        <v>0</v>
      </c>
      <c r="P47" s="317">
        <f>'[3]851011_091110'!$E$48</f>
        <v>100</v>
      </c>
      <c r="Q47" s="134"/>
      <c r="R47" s="134"/>
      <c r="S47" s="134"/>
      <c r="T47" s="134"/>
      <c r="U47" s="134">
        <v>628</v>
      </c>
      <c r="V47" s="134"/>
      <c r="W47" s="134"/>
      <c r="X47" s="134"/>
      <c r="Y47" s="134"/>
      <c r="Z47" s="134"/>
      <c r="AA47" s="134"/>
      <c r="AB47" s="134"/>
      <c r="AC47" s="134">
        <f>'[3]813000_066010'!$E$48</f>
        <v>100</v>
      </c>
      <c r="AD47" s="134">
        <f>'[3]841154_013350'!$E$48</f>
        <v>550</v>
      </c>
      <c r="AE47" s="134">
        <f>'[3]841402_064010'!$E$48</f>
        <v>13000</v>
      </c>
      <c r="AF47" s="134">
        <f>'[3]841403_066020'!$E$48</f>
        <v>50</v>
      </c>
      <c r="AG47" s="134"/>
      <c r="AH47" s="134"/>
      <c r="AI47" s="134">
        <f>'[3]862101_072111'!$E$48</f>
        <v>150</v>
      </c>
      <c r="AJ47" s="134"/>
      <c r="AK47" s="134"/>
      <c r="AL47" s="134"/>
      <c r="AM47" s="134">
        <f>'[3]869041_074031'!$E$48</f>
        <v>55</v>
      </c>
      <c r="AN47" s="134"/>
      <c r="AO47" s="134"/>
      <c r="AP47" s="134"/>
      <c r="AQ47" s="134"/>
      <c r="AR47" s="134"/>
      <c r="AS47" s="134"/>
      <c r="AT47" s="134"/>
      <c r="AU47" s="134">
        <f>'[3]910502_082902'!$E$48</f>
        <v>250</v>
      </c>
      <c r="AV47" s="134">
        <f>'[3]932911_081061'!$E$48</f>
        <v>10</v>
      </c>
      <c r="AW47" s="134"/>
      <c r="AX47" s="134">
        <f>'[3]960302_013320'!$E$48</f>
        <v>10</v>
      </c>
      <c r="AY47" s="317">
        <f t="shared" si="1"/>
        <v>14803</v>
      </c>
      <c r="AZ47" s="15">
        <f t="shared" si="2"/>
        <v>14903</v>
      </c>
    </row>
    <row r="48" spans="1:52" ht="15">
      <c r="A48" s="54">
        <v>44</v>
      </c>
      <c r="B48" s="142" t="s">
        <v>433</v>
      </c>
      <c r="C48" s="143" t="s">
        <v>434</v>
      </c>
      <c r="D48" s="283">
        <v>0</v>
      </c>
      <c r="E48" s="134"/>
      <c r="F48" s="134"/>
      <c r="G48" s="134"/>
      <c r="H48" s="134"/>
      <c r="I48" s="134"/>
      <c r="J48" s="134"/>
      <c r="K48" s="134"/>
      <c r="L48" s="134"/>
      <c r="M48" s="265"/>
      <c r="N48" s="134"/>
      <c r="O48" s="220">
        <f t="shared" si="0"/>
        <v>0</v>
      </c>
      <c r="P48" s="317">
        <f>'[3]851011_091110'!$E$49</f>
        <v>500</v>
      </c>
      <c r="Q48" s="134"/>
      <c r="R48" s="134"/>
      <c r="S48" s="134"/>
      <c r="T48" s="134"/>
      <c r="U48" s="134">
        <f>'[3]562913_096020'!$E$49</f>
        <v>900</v>
      </c>
      <c r="V48" s="134"/>
      <c r="W48" s="134"/>
      <c r="X48" s="134"/>
      <c r="Y48" s="134"/>
      <c r="Z48" s="134"/>
      <c r="AA48" s="134"/>
      <c r="AB48" s="134"/>
      <c r="AC48" s="134">
        <f>'[3]813000_066010'!$E$49</f>
        <v>450</v>
      </c>
      <c r="AD48" s="134">
        <f>'[3]841154_013350'!$E$49</f>
        <v>700</v>
      </c>
      <c r="AE48" s="134"/>
      <c r="AF48" s="134">
        <f>'[3]841403_066020'!$E$49</f>
        <v>10</v>
      </c>
      <c r="AG48" s="134"/>
      <c r="AH48" s="134"/>
      <c r="AI48" s="134">
        <f>'[3]862101_072111'!$E$49</f>
        <v>290</v>
      </c>
      <c r="AJ48" s="134"/>
      <c r="AK48" s="134"/>
      <c r="AL48" s="134"/>
      <c r="AM48" s="134">
        <f>'[3]869041_074031'!$E$49</f>
        <v>150</v>
      </c>
      <c r="AN48" s="134"/>
      <c r="AO48" s="134"/>
      <c r="AP48" s="134"/>
      <c r="AQ48" s="134"/>
      <c r="AR48" s="134"/>
      <c r="AS48" s="134"/>
      <c r="AT48" s="134"/>
      <c r="AU48" s="134">
        <f>'[3]910502_082902'!$E$49</f>
        <v>400</v>
      </c>
      <c r="AV48" s="134"/>
      <c r="AW48" s="134"/>
      <c r="AX48" s="134"/>
      <c r="AY48" s="317">
        <f t="shared" si="1"/>
        <v>2900</v>
      </c>
      <c r="AZ48" s="15">
        <f t="shared" si="2"/>
        <v>3400</v>
      </c>
    </row>
    <row r="49" spans="1:52" ht="15">
      <c r="A49" s="54">
        <v>45</v>
      </c>
      <c r="B49" s="142" t="s">
        <v>435</v>
      </c>
      <c r="C49" s="143" t="s">
        <v>436</v>
      </c>
      <c r="D49" s="283">
        <v>0</v>
      </c>
      <c r="E49" s="134"/>
      <c r="F49" s="134"/>
      <c r="G49" s="134"/>
      <c r="H49" s="134"/>
      <c r="I49" s="134"/>
      <c r="J49" s="134"/>
      <c r="K49" s="134"/>
      <c r="L49" s="134"/>
      <c r="M49" s="265"/>
      <c r="N49" s="134"/>
      <c r="O49" s="220">
        <f t="shared" si="0"/>
        <v>0</v>
      </c>
      <c r="P49" s="317">
        <f>'[3]851011_091110'!$E$50</f>
        <v>350</v>
      </c>
      <c r="Q49" s="134"/>
      <c r="R49" s="134"/>
      <c r="S49" s="134"/>
      <c r="T49" s="134"/>
      <c r="U49" s="134">
        <f>'[3]562913_096020'!$E$50</f>
        <v>670</v>
      </c>
      <c r="V49" s="134"/>
      <c r="W49" s="134"/>
      <c r="X49" s="134"/>
      <c r="Y49" s="134"/>
      <c r="Z49" s="134"/>
      <c r="AA49" s="134"/>
      <c r="AB49" s="134"/>
      <c r="AC49" s="134">
        <f>'[3]813000_066010'!$E$50</f>
        <v>350</v>
      </c>
      <c r="AD49" s="134">
        <f>'[3]841154_013350'!$E$50</f>
        <v>110</v>
      </c>
      <c r="AE49" s="134"/>
      <c r="AF49" s="134">
        <f>'[3]841403_066020'!$E$50</f>
        <v>200</v>
      </c>
      <c r="AG49" s="134"/>
      <c r="AH49" s="134"/>
      <c r="AI49" s="134">
        <f>'[3]862101_072111'!$E$50</f>
        <v>25</v>
      </c>
      <c r="AJ49" s="134"/>
      <c r="AK49" s="134"/>
      <c r="AL49" s="134"/>
      <c r="AM49" s="134">
        <f>'[3]869041_074031'!$E$50</f>
        <v>45</v>
      </c>
      <c r="AN49" s="134"/>
      <c r="AO49" s="134"/>
      <c r="AP49" s="134"/>
      <c r="AQ49" s="134"/>
      <c r="AR49" s="134"/>
      <c r="AS49" s="134"/>
      <c r="AT49" s="134"/>
      <c r="AU49" s="134">
        <f>'[3]910502_082902'!$E$50</f>
        <v>45</v>
      </c>
      <c r="AV49" s="134">
        <f>'[3]932911_081061'!$E$50</f>
        <v>80</v>
      </c>
      <c r="AW49" s="134"/>
      <c r="AX49" s="134">
        <f>'[3]960302_013320'!$E$50</f>
        <v>10</v>
      </c>
      <c r="AY49" s="317">
        <f t="shared" si="1"/>
        <v>1535</v>
      </c>
      <c r="AZ49" s="15">
        <f t="shared" si="2"/>
        <v>1885</v>
      </c>
    </row>
    <row r="50" spans="1:52" ht="15">
      <c r="A50" s="54">
        <v>46</v>
      </c>
      <c r="B50" s="174" t="s">
        <v>437</v>
      </c>
      <c r="C50" s="175" t="s">
        <v>438</v>
      </c>
      <c r="D50" s="272">
        <f>SUM(D47:D49)</f>
        <v>0</v>
      </c>
      <c r="E50" s="206">
        <f aca="true" t="shared" si="12" ref="E50:AX50">SUM(E47:E49)</f>
        <v>0</v>
      </c>
      <c r="F50" s="206"/>
      <c r="G50" s="206">
        <f t="shared" si="12"/>
        <v>0</v>
      </c>
      <c r="H50" s="206">
        <f t="shared" si="12"/>
        <v>0</v>
      </c>
      <c r="I50" s="206">
        <f t="shared" si="12"/>
        <v>0</v>
      </c>
      <c r="J50" s="206">
        <f t="shared" si="12"/>
        <v>0</v>
      </c>
      <c r="K50" s="206">
        <f t="shared" si="12"/>
        <v>0</v>
      </c>
      <c r="L50" s="206">
        <f t="shared" si="12"/>
        <v>0</v>
      </c>
      <c r="M50" s="272">
        <f t="shared" si="12"/>
        <v>0</v>
      </c>
      <c r="N50" s="206">
        <f t="shared" si="12"/>
        <v>0</v>
      </c>
      <c r="O50" s="220">
        <f t="shared" si="0"/>
        <v>0</v>
      </c>
      <c r="P50" s="325">
        <f t="shared" si="12"/>
        <v>950</v>
      </c>
      <c r="Q50" s="206">
        <f t="shared" si="12"/>
        <v>0</v>
      </c>
      <c r="R50" s="206">
        <f t="shared" si="12"/>
        <v>0</v>
      </c>
      <c r="S50" s="206">
        <f t="shared" si="12"/>
        <v>0</v>
      </c>
      <c r="T50" s="206">
        <f t="shared" si="12"/>
        <v>0</v>
      </c>
      <c r="U50" s="206">
        <f t="shared" si="12"/>
        <v>2198</v>
      </c>
      <c r="V50" s="206">
        <f t="shared" si="12"/>
        <v>0</v>
      </c>
      <c r="W50" s="206">
        <f t="shared" si="12"/>
        <v>0</v>
      </c>
      <c r="X50" s="206">
        <f t="shared" si="12"/>
        <v>0</v>
      </c>
      <c r="Y50" s="206">
        <f t="shared" si="12"/>
        <v>0</v>
      </c>
      <c r="Z50" s="206">
        <f t="shared" si="12"/>
        <v>0</v>
      </c>
      <c r="AA50" s="206">
        <f t="shared" si="12"/>
        <v>0</v>
      </c>
      <c r="AB50" s="206">
        <f t="shared" si="12"/>
        <v>0</v>
      </c>
      <c r="AC50" s="206">
        <f t="shared" si="12"/>
        <v>900</v>
      </c>
      <c r="AD50" s="206">
        <f t="shared" si="12"/>
        <v>1360</v>
      </c>
      <c r="AE50" s="206">
        <f t="shared" si="12"/>
        <v>13000</v>
      </c>
      <c r="AF50" s="206">
        <f t="shared" si="12"/>
        <v>260</v>
      </c>
      <c r="AG50" s="206">
        <f t="shared" si="12"/>
        <v>0</v>
      </c>
      <c r="AH50" s="206">
        <f t="shared" si="12"/>
        <v>0</v>
      </c>
      <c r="AI50" s="206">
        <f t="shared" si="12"/>
        <v>465</v>
      </c>
      <c r="AJ50" s="206">
        <f t="shared" si="12"/>
        <v>0</v>
      </c>
      <c r="AK50" s="206">
        <f t="shared" si="12"/>
        <v>0</v>
      </c>
      <c r="AL50" s="206">
        <f t="shared" si="12"/>
        <v>0</v>
      </c>
      <c r="AM50" s="206">
        <f t="shared" si="12"/>
        <v>250</v>
      </c>
      <c r="AN50" s="206">
        <f t="shared" si="12"/>
        <v>0</v>
      </c>
      <c r="AO50" s="206">
        <f t="shared" si="12"/>
        <v>0</v>
      </c>
      <c r="AP50" s="206">
        <f t="shared" si="12"/>
        <v>0</v>
      </c>
      <c r="AQ50" s="206">
        <f t="shared" si="12"/>
        <v>0</v>
      </c>
      <c r="AR50" s="206">
        <f t="shared" si="12"/>
        <v>0</v>
      </c>
      <c r="AS50" s="206">
        <f t="shared" si="12"/>
        <v>0</v>
      </c>
      <c r="AT50" s="206">
        <f t="shared" si="12"/>
        <v>0</v>
      </c>
      <c r="AU50" s="206">
        <f t="shared" si="12"/>
        <v>695</v>
      </c>
      <c r="AV50" s="206">
        <f t="shared" si="12"/>
        <v>90</v>
      </c>
      <c r="AW50" s="206">
        <f t="shared" si="12"/>
        <v>0</v>
      </c>
      <c r="AX50" s="206">
        <f t="shared" si="12"/>
        <v>20</v>
      </c>
      <c r="AY50" s="317">
        <f t="shared" si="1"/>
        <v>19238</v>
      </c>
      <c r="AZ50" s="15">
        <f t="shared" si="2"/>
        <v>20188</v>
      </c>
    </row>
    <row r="51" spans="1:52" ht="15">
      <c r="A51" s="55">
        <v>47</v>
      </c>
      <c r="B51" s="142" t="s">
        <v>439</v>
      </c>
      <c r="C51" s="143" t="s">
        <v>440</v>
      </c>
      <c r="D51" s="283"/>
      <c r="E51" s="134"/>
      <c r="F51" s="134"/>
      <c r="G51" s="134"/>
      <c r="H51" s="134"/>
      <c r="I51" s="134"/>
      <c r="J51" s="134"/>
      <c r="K51" s="134"/>
      <c r="L51" s="134"/>
      <c r="M51" s="265"/>
      <c r="N51" s="134"/>
      <c r="O51" s="220">
        <f t="shared" si="0"/>
        <v>0</v>
      </c>
      <c r="P51" s="317"/>
      <c r="Q51" s="134"/>
      <c r="R51" s="134"/>
      <c r="S51" s="134">
        <v>640</v>
      </c>
      <c r="T51" s="134"/>
      <c r="U51" s="134"/>
      <c r="V51" s="134"/>
      <c r="W51" s="134"/>
      <c r="X51" s="134"/>
      <c r="Y51" s="134"/>
      <c r="Z51" s="134"/>
      <c r="AA51" s="134"/>
      <c r="AB51" s="134">
        <f>'[3]811000_013350'!$E$52</f>
        <v>50</v>
      </c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317">
        <f t="shared" si="1"/>
        <v>690</v>
      </c>
      <c r="AZ51" s="15">
        <f t="shared" si="2"/>
        <v>690</v>
      </c>
    </row>
    <row r="52" spans="1:52" ht="15">
      <c r="A52" s="54">
        <v>48</v>
      </c>
      <c r="B52" s="142" t="s">
        <v>441</v>
      </c>
      <c r="C52" s="143" t="s">
        <v>211</v>
      </c>
      <c r="D52" s="283">
        <v>0</v>
      </c>
      <c r="E52" s="134">
        <v>262</v>
      </c>
      <c r="F52" s="134">
        <v>63</v>
      </c>
      <c r="G52" s="134"/>
      <c r="H52" s="134"/>
      <c r="I52" s="134"/>
      <c r="J52" s="134"/>
      <c r="K52" s="134"/>
      <c r="L52" s="134"/>
      <c r="M52" s="265"/>
      <c r="N52" s="134"/>
      <c r="O52" s="220">
        <f t="shared" si="0"/>
        <v>325</v>
      </c>
      <c r="P52" s="317">
        <v>221</v>
      </c>
      <c r="Q52" s="134"/>
      <c r="R52" s="134"/>
      <c r="S52" s="134">
        <v>2056</v>
      </c>
      <c r="T52" s="134"/>
      <c r="U52" s="134">
        <f>'[3]562913_096020'!$E$53</f>
        <v>370</v>
      </c>
      <c r="V52" s="134"/>
      <c r="W52" s="134"/>
      <c r="X52" s="134">
        <f>'[3]680001_013350'!$E$53</f>
        <v>100</v>
      </c>
      <c r="Y52" s="134">
        <f>'[3]680002_013350'!$E$53</f>
        <v>200</v>
      </c>
      <c r="Z52" s="134"/>
      <c r="AA52" s="134"/>
      <c r="AB52" s="134">
        <f>'[3]811000_013350'!$E$53</f>
        <v>200</v>
      </c>
      <c r="AC52" s="134">
        <v>218</v>
      </c>
      <c r="AD52" s="134">
        <f>'[3]841154_013350'!$E$53</f>
        <v>50</v>
      </c>
      <c r="AE52" s="134"/>
      <c r="AF52" s="134">
        <f>'[3]841403_066020'!$E$53</f>
        <v>709</v>
      </c>
      <c r="AG52" s="134"/>
      <c r="AH52" s="134">
        <v>44</v>
      </c>
      <c r="AI52" s="134">
        <v>169</v>
      </c>
      <c r="AJ52" s="134"/>
      <c r="AK52" s="134"/>
      <c r="AL52" s="134"/>
      <c r="AM52" s="134">
        <f>'[3]869041_074031'!$E$53</f>
        <v>150</v>
      </c>
      <c r="AN52" s="134"/>
      <c r="AO52" s="134"/>
      <c r="AP52" s="134"/>
      <c r="AQ52" s="134"/>
      <c r="AR52" s="134"/>
      <c r="AS52" s="134"/>
      <c r="AT52" s="134"/>
      <c r="AU52" s="134">
        <f>'[3]910502_082902'!$E$53</f>
        <v>60</v>
      </c>
      <c r="AV52" s="134">
        <v>142</v>
      </c>
      <c r="AW52" s="134"/>
      <c r="AX52" s="134">
        <f>'[3]960302_013320'!$E$53</f>
        <v>30</v>
      </c>
      <c r="AY52" s="317">
        <f t="shared" si="1"/>
        <v>4498</v>
      </c>
      <c r="AZ52" s="15">
        <f t="shared" si="2"/>
        <v>5044</v>
      </c>
    </row>
    <row r="53" spans="1:52" ht="15">
      <c r="A53" s="54">
        <v>49</v>
      </c>
      <c r="B53" s="142" t="s">
        <v>442</v>
      </c>
      <c r="C53" s="143" t="s">
        <v>443</v>
      </c>
      <c r="D53" s="283">
        <f>'[2]841112_011130'!$E$42</f>
        <v>50</v>
      </c>
      <c r="E53" s="134"/>
      <c r="F53" s="134"/>
      <c r="G53" s="134">
        <f>'[2]841403_066020'!$E$42</f>
        <v>280</v>
      </c>
      <c r="H53" s="134"/>
      <c r="I53" s="134"/>
      <c r="J53" s="134"/>
      <c r="K53" s="134"/>
      <c r="L53" s="134"/>
      <c r="M53" s="265"/>
      <c r="N53" s="134"/>
      <c r="O53" s="220">
        <f t="shared" si="0"/>
        <v>330</v>
      </c>
      <c r="P53" s="317">
        <f>'[3]851011_091110'!$E$54</f>
        <v>20</v>
      </c>
      <c r="Q53" s="134"/>
      <c r="R53" s="134">
        <f>'[3]381103_051030'!$E$54</f>
        <v>1100</v>
      </c>
      <c r="S53" s="134"/>
      <c r="T53" s="134"/>
      <c r="U53" s="134">
        <f>'[3]562913_096020'!$E$54</f>
        <v>175</v>
      </c>
      <c r="V53" s="134"/>
      <c r="W53" s="134"/>
      <c r="X53" s="134"/>
      <c r="Y53" s="134"/>
      <c r="Z53" s="134"/>
      <c r="AA53" s="134"/>
      <c r="AB53" s="134"/>
      <c r="AC53" s="134">
        <f>'[3]813000_066010'!$E$54</f>
        <v>1660</v>
      </c>
      <c r="AD53" s="134">
        <f>'[3]841154_013350'!$E$54</f>
        <v>700</v>
      </c>
      <c r="AE53" s="134">
        <f>'[3]841402_064010'!$E$54</f>
        <v>623</v>
      </c>
      <c r="AF53" s="134"/>
      <c r="AG53" s="134"/>
      <c r="AH53" s="134"/>
      <c r="AI53" s="134">
        <f>'[3]862101_072111'!$E$54</f>
        <v>50</v>
      </c>
      <c r="AJ53" s="134"/>
      <c r="AK53" s="134"/>
      <c r="AL53" s="134"/>
      <c r="AM53" s="134">
        <f>'[3]869041_074031'!$E$54</f>
        <v>10</v>
      </c>
      <c r="AN53" s="134"/>
      <c r="AO53" s="134"/>
      <c r="AP53" s="134">
        <f>'[3]889928_107055'!$E$54</f>
        <v>200</v>
      </c>
      <c r="AQ53" s="134"/>
      <c r="AR53" s="134"/>
      <c r="AS53" s="134"/>
      <c r="AT53" s="134"/>
      <c r="AU53" s="134"/>
      <c r="AV53" s="134"/>
      <c r="AW53" s="134"/>
      <c r="AX53" s="134"/>
      <c r="AY53" s="317">
        <f t="shared" si="1"/>
        <v>4518</v>
      </c>
      <c r="AZ53" s="15">
        <f t="shared" si="2"/>
        <v>4868</v>
      </c>
    </row>
    <row r="54" spans="1:52" ht="15.75">
      <c r="A54" s="54">
        <v>50</v>
      </c>
      <c r="B54" s="174" t="s">
        <v>444</v>
      </c>
      <c r="C54" s="175" t="s">
        <v>445</v>
      </c>
      <c r="D54" s="271">
        <f>SUM(D52:D53)</f>
        <v>50</v>
      </c>
      <c r="E54" s="205">
        <f aca="true" t="shared" si="13" ref="E54:AX54">SUM(E52:E53)</f>
        <v>262</v>
      </c>
      <c r="F54" s="205">
        <f t="shared" si="13"/>
        <v>63</v>
      </c>
      <c r="G54" s="205">
        <f t="shared" si="13"/>
        <v>280</v>
      </c>
      <c r="H54" s="205">
        <f t="shared" si="13"/>
        <v>0</v>
      </c>
      <c r="I54" s="205">
        <f t="shared" si="13"/>
        <v>0</v>
      </c>
      <c r="J54" s="205">
        <f t="shared" si="13"/>
        <v>0</v>
      </c>
      <c r="K54" s="205">
        <f t="shared" si="13"/>
        <v>0</v>
      </c>
      <c r="L54" s="205">
        <f t="shared" si="13"/>
        <v>0</v>
      </c>
      <c r="M54" s="271">
        <f t="shared" si="13"/>
        <v>0</v>
      </c>
      <c r="N54" s="205">
        <f t="shared" si="13"/>
        <v>0</v>
      </c>
      <c r="O54" s="220">
        <f t="shared" si="0"/>
        <v>655</v>
      </c>
      <c r="P54" s="324">
        <f t="shared" si="13"/>
        <v>241</v>
      </c>
      <c r="Q54" s="205">
        <f t="shared" si="13"/>
        <v>0</v>
      </c>
      <c r="R54" s="205">
        <f t="shared" si="13"/>
        <v>1100</v>
      </c>
      <c r="S54" s="205">
        <f t="shared" si="13"/>
        <v>2056</v>
      </c>
      <c r="T54" s="205">
        <f t="shared" si="13"/>
        <v>0</v>
      </c>
      <c r="U54" s="205">
        <f t="shared" si="13"/>
        <v>545</v>
      </c>
      <c r="V54" s="205">
        <f t="shared" si="13"/>
        <v>0</v>
      </c>
      <c r="W54" s="205">
        <f t="shared" si="13"/>
        <v>0</v>
      </c>
      <c r="X54" s="205">
        <f t="shared" si="13"/>
        <v>100</v>
      </c>
      <c r="Y54" s="205">
        <f t="shared" si="13"/>
        <v>200</v>
      </c>
      <c r="Z54" s="205">
        <f t="shared" si="13"/>
        <v>0</v>
      </c>
      <c r="AA54" s="205">
        <f t="shared" si="13"/>
        <v>0</v>
      </c>
      <c r="AB54" s="205">
        <f t="shared" si="13"/>
        <v>200</v>
      </c>
      <c r="AC54" s="205">
        <f t="shared" si="13"/>
        <v>1878</v>
      </c>
      <c r="AD54" s="205">
        <f t="shared" si="13"/>
        <v>750</v>
      </c>
      <c r="AE54" s="205">
        <f t="shared" si="13"/>
        <v>623</v>
      </c>
      <c r="AF54" s="205">
        <f>SUM(AF51:AF53)</f>
        <v>709</v>
      </c>
      <c r="AG54" s="205">
        <f t="shared" si="13"/>
        <v>0</v>
      </c>
      <c r="AH54" s="205">
        <f t="shared" si="13"/>
        <v>44</v>
      </c>
      <c r="AI54" s="205">
        <f t="shared" si="13"/>
        <v>219</v>
      </c>
      <c r="AJ54" s="205">
        <f t="shared" si="13"/>
        <v>0</v>
      </c>
      <c r="AK54" s="205">
        <f t="shared" si="13"/>
        <v>0</v>
      </c>
      <c r="AL54" s="205">
        <f t="shared" si="13"/>
        <v>0</v>
      </c>
      <c r="AM54" s="205">
        <f t="shared" si="13"/>
        <v>160</v>
      </c>
      <c r="AN54" s="205">
        <f t="shared" si="13"/>
        <v>0</v>
      </c>
      <c r="AO54" s="205">
        <f t="shared" si="13"/>
        <v>0</v>
      </c>
      <c r="AP54" s="205">
        <f t="shared" si="13"/>
        <v>200</v>
      </c>
      <c r="AQ54" s="205">
        <f t="shared" si="13"/>
        <v>0</v>
      </c>
      <c r="AR54" s="205">
        <f t="shared" si="13"/>
        <v>0</v>
      </c>
      <c r="AS54" s="205">
        <f t="shared" si="13"/>
        <v>0</v>
      </c>
      <c r="AT54" s="205">
        <f t="shared" si="13"/>
        <v>0</v>
      </c>
      <c r="AU54" s="205">
        <f t="shared" si="13"/>
        <v>60</v>
      </c>
      <c r="AV54" s="205">
        <f t="shared" si="13"/>
        <v>142</v>
      </c>
      <c r="AW54" s="205">
        <f t="shared" si="13"/>
        <v>0</v>
      </c>
      <c r="AX54" s="205">
        <f t="shared" si="13"/>
        <v>30</v>
      </c>
      <c r="AY54" s="317">
        <f t="shared" si="1"/>
        <v>9016</v>
      </c>
      <c r="AZ54" s="15">
        <f t="shared" si="2"/>
        <v>9912</v>
      </c>
    </row>
    <row r="55" spans="1:52" ht="15">
      <c r="A55" s="54">
        <v>51</v>
      </c>
      <c r="B55" s="174" t="s">
        <v>446</v>
      </c>
      <c r="C55" s="176" t="s">
        <v>447</v>
      </c>
      <c r="D55" s="285"/>
      <c r="E55" s="134"/>
      <c r="F55" s="134"/>
      <c r="G55" s="134">
        <f>'[2]841403_066020'!$E$44</f>
        <v>0</v>
      </c>
      <c r="H55" s="134"/>
      <c r="I55" s="134"/>
      <c r="J55" s="134"/>
      <c r="K55" s="134"/>
      <c r="L55" s="134"/>
      <c r="M55" s="265"/>
      <c r="N55" s="134"/>
      <c r="O55" s="220">
        <f t="shared" si="0"/>
        <v>0</v>
      </c>
      <c r="P55" s="317"/>
      <c r="Q55" s="134"/>
      <c r="R55" s="134">
        <f>'[3]381103_051030'!$E$56</f>
        <v>3000</v>
      </c>
      <c r="S55" s="134"/>
      <c r="T55" s="134"/>
      <c r="U55" s="134"/>
      <c r="V55" s="134"/>
      <c r="W55" s="134"/>
      <c r="X55" s="134"/>
      <c r="Y55" s="134">
        <f>'[3]680002_013350'!$E$56</f>
        <v>3400</v>
      </c>
      <c r="Z55" s="134"/>
      <c r="AA55" s="134"/>
      <c r="AB55" s="134"/>
      <c r="AC55" s="134"/>
      <c r="AD55" s="134">
        <v>221</v>
      </c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317">
        <f t="shared" si="1"/>
        <v>6621</v>
      </c>
      <c r="AZ55" s="15">
        <f t="shared" si="2"/>
        <v>6621</v>
      </c>
    </row>
    <row r="56" spans="1:52" ht="15">
      <c r="A56" s="55">
        <v>52</v>
      </c>
      <c r="B56" s="167"/>
      <c r="C56" s="177" t="s">
        <v>448</v>
      </c>
      <c r="D56" s="286"/>
      <c r="E56" s="134"/>
      <c r="F56" s="134"/>
      <c r="G56" s="134"/>
      <c r="H56" s="134"/>
      <c r="I56" s="134"/>
      <c r="J56" s="134"/>
      <c r="K56" s="134"/>
      <c r="L56" s="134"/>
      <c r="M56" s="265"/>
      <c r="N56" s="134"/>
      <c r="O56" s="220">
        <f t="shared" si="0"/>
        <v>0</v>
      </c>
      <c r="P56" s="317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317">
        <f t="shared" si="1"/>
        <v>0</v>
      </c>
      <c r="AZ56" s="15">
        <f t="shared" si="2"/>
        <v>0</v>
      </c>
    </row>
    <row r="57" spans="1:52" ht="15">
      <c r="A57" s="54">
        <v>53</v>
      </c>
      <c r="B57" s="167" t="s">
        <v>449</v>
      </c>
      <c r="C57" s="177" t="s">
        <v>450</v>
      </c>
      <c r="D57" s="286">
        <v>278</v>
      </c>
      <c r="E57" s="209"/>
      <c r="F57" s="209"/>
      <c r="G57" s="134">
        <v>2698</v>
      </c>
      <c r="H57" s="134"/>
      <c r="I57" s="134"/>
      <c r="J57" s="134"/>
      <c r="K57" s="134">
        <v>269</v>
      </c>
      <c r="L57" s="134"/>
      <c r="M57" s="265"/>
      <c r="N57" s="134"/>
      <c r="O57" s="220">
        <f t="shared" si="0"/>
        <v>3245</v>
      </c>
      <c r="P57" s="317">
        <v>235</v>
      </c>
      <c r="Q57" s="134">
        <f>'[3]370000_052020'!$E$58</f>
        <v>6034</v>
      </c>
      <c r="R57" s="134">
        <v>5550</v>
      </c>
      <c r="S57" s="134"/>
      <c r="T57" s="134"/>
      <c r="U57" s="134">
        <f>'[3]562913_096020'!$E$58</f>
        <v>230</v>
      </c>
      <c r="V57" s="134"/>
      <c r="W57" s="134"/>
      <c r="X57" s="134"/>
      <c r="Y57" s="134"/>
      <c r="Z57" s="134">
        <f>'[3]750000_042180'!$E$58</f>
        <v>250</v>
      </c>
      <c r="AA57" s="134"/>
      <c r="AB57" s="134"/>
      <c r="AC57" s="134">
        <f>'[3]813000_066010'!$E$58</f>
        <v>900</v>
      </c>
      <c r="AD57" s="134">
        <v>3050</v>
      </c>
      <c r="AE57" s="134"/>
      <c r="AF57" s="134">
        <v>15222</v>
      </c>
      <c r="AG57" s="134">
        <v>600</v>
      </c>
      <c r="AH57" s="134">
        <f>'[3]852011_013350'!$E$58</f>
        <v>115</v>
      </c>
      <c r="AI57" s="134">
        <v>4760</v>
      </c>
      <c r="AJ57" s="134">
        <v>1673</v>
      </c>
      <c r="AK57" s="134">
        <f>'[3]862231_074011'!$E$58</f>
        <v>300</v>
      </c>
      <c r="AL57" s="134">
        <f>'[3]862301_072311'!$E$58</f>
        <v>1200</v>
      </c>
      <c r="AM57" s="134"/>
      <c r="AN57" s="134"/>
      <c r="AO57" s="134">
        <f>'[3]889924_107054'!$E$58</f>
        <v>372</v>
      </c>
      <c r="AP57" s="134"/>
      <c r="AQ57" s="134"/>
      <c r="AR57" s="134"/>
      <c r="AS57" s="134"/>
      <c r="AT57" s="134"/>
      <c r="AU57" s="134">
        <v>2712</v>
      </c>
      <c r="AV57" s="134"/>
      <c r="AW57" s="134"/>
      <c r="AX57" s="134">
        <f>'[3]960302_013320'!$E$58</f>
        <v>300</v>
      </c>
      <c r="AY57" s="317">
        <f t="shared" si="1"/>
        <v>43268</v>
      </c>
      <c r="AZ57" s="15">
        <f t="shared" si="2"/>
        <v>46748</v>
      </c>
    </row>
    <row r="58" spans="1:52" ht="15">
      <c r="A58" s="54">
        <v>54</v>
      </c>
      <c r="B58" s="167" t="s">
        <v>451</v>
      </c>
      <c r="C58" s="177" t="s">
        <v>452</v>
      </c>
      <c r="D58" s="286"/>
      <c r="E58" s="134"/>
      <c r="F58" s="134"/>
      <c r="G58" s="134"/>
      <c r="H58" s="134"/>
      <c r="I58" s="134"/>
      <c r="J58" s="134"/>
      <c r="K58" s="134"/>
      <c r="L58" s="134"/>
      <c r="M58" s="265"/>
      <c r="N58" s="134"/>
      <c r="O58" s="220">
        <f t="shared" si="0"/>
        <v>0</v>
      </c>
      <c r="P58" s="317">
        <f>'[3]851011_091110'!$E$59</f>
        <v>60</v>
      </c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>
        <f>'[3]910502_082902'!$E$59</f>
        <v>3334</v>
      </c>
      <c r="AV58" s="134"/>
      <c r="AW58" s="134"/>
      <c r="AX58" s="134"/>
      <c r="AY58" s="317">
        <f t="shared" si="1"/>
        <v>3334</v>
      </c>
      <c r="AZ58" s="15">
        <f t="shared" si="2"/>
        <v>3394</v>
      </c>
    </row>
    <row r="59" spans="1:52" ht="27" customHeight="1">
      <c r="A59" s="54">
        <v>55</v>
      </c>
      <c r="B59" s="178" t="s">
        <v>453</v>
      </c>
      <c r="C59" s="179" t="s">
        <v>454</v>
      </c>
      <c r="D59" s="273">
        <f>SUM(D57:D58)</f>
        <v>278</v>
      </c>
      <c r="E59" s="222">
        <f aca="true" t="shared" si="14" ref="E59:AX59">SUM(E57:E58)</f>
        <v>0</v>
      </c>
      <c r="F59" s="222"/>
      <c r="G59" s="222">
        <f t="shared" si="14"/>
        <v>2698</v>
      </c>
      <c r="H59" s="222">
        <f t="shared" si="14"/>
        <v>0</v>
      </c>
      <c r="I59" s="222">
        <f t="shared" si="14"/>
        <v>0</v>
      </c>
      <c r="J59" s="222">
        <f t="shared" si="14"/>
        <v>0</v>
      </c>
      <c r="K59" s="222">
        <f t="shared" si="14"/>
        <v>269</v>
      </c>
      <c r="L59" s="222">
        <f t="shared" si="14"/>
        <v>0</v>
      </c>
      <c r="M59" s="273">
        <f t="shared" si="14"/>
        <v>0</v>
      </c>
      <c r="N59" s="222">
        <f t="shared" si="14"/>
        <v>0</v>
      </c>
      <c r="O59" s="220">
        <f t="shared" si="0"/>
        <v>3245</v>
      </c>
      <c r="P59" s="326">
        <f t="shared" si="14"/>
        <v>295</v>
      </c>
      <c r="Q59" s="222">
        <f t="shared" si="14"/>
        <v>6034</v>
      </c>
      <c r="R59" s="222">
        <f t="shared" si="14"/>
        <v>5550</v>
      </c>
      <c r="S59" s="222">
        <f t="shared" si="14"/>
        <v>0</v>
      </c>
      <c r="T59" s="222">
        <f t="shared" si="14"/>
        <v>0</v>
      </c>
      <c r="U59" s="222">
        <f t="shared" si="14"/>
        <v>230</v>
      </c>
      <c r="V59" s="222">
        <f t="shared" si="14"/>
        <v>0</v>
      </c>
      <c r="W59" s="222">
        <f t="shared" si="14"/>
        <v>0</v>
      </c>
      <c r="X59" s="222">
        <f t="shared" si="14"/>
        <v>0</v>
      </c>
      <c r="Y59" s="222">
        <f t="shared" si="14"/>
        <v>0</v>
      </c>
      <c r="Z59" s="222">
        <f t="shared" si="14"/>
        <v>250</v>
      </c>
      <c r="AA59" s="222">
        <f t="shared" si="14"/>
        <v>0</v>
      </c>
      <c r="AB59" s="222">
        <f t="shared" si="14"/>
        <v>0</v>
      </c>
      <c r="AC59" s="222">
        <f t="shared" si="14"/>
        <v>900</v>
      </c>
      <c r="AD59" s="222">
        <f t="shared" si="14"/>
        <v>3050</v>
      </c>
      <c r="AE59" s="222">
        <f t="shared" si="14"/>
        <v>0</v>
      </c>
      <c r="AF59" s="222">
        <f t="shared" si="14"/>
        <v>15222</v>
      </c>
      <c r="AG59" s="222">
        <f t="shared" si="14"/>
        <v>600</v>
      </c>
      <c r="AH59" s="222">
        <f t="shared" si="14"/>
        <v>115</v>
      </c>
      <c r="AI59" s="222">
        <f t="shared" si="14"/>
        <v>4760</v>
      </c>
      <c r="AJ59" s="222">
        <f t="shared" si="14"/>
        <v>1673</v>
      </c>
      <c r="AK59" s="222">
        <f t="shared" si="14"/>
        <v>300</v>
      </c>
      <c r="AL59" s="222">
        <f t="shared" si="14"/>
        <v>1200</v>
      </c>
      <c r="AM59" s="222">
        <f t="shared" si="14"/>
        <v>0</v>
      </c>
      <c r="AN59" s="222">
        <f t="shared" si="14"/>
        <v>0</v>
      </c>
      <c r="AO59" s="222">
        <f t="shared" si="14"/>
        <v>372</v>
      </c>
      <c r="AP59" s="222">
        <f t="shared" si="14"/>
        <v>0</v>
      </c>
      <c r="AQ59" s="222">
        <f t="shared" si="14"/>
        <v>0</v>
      </c>
      <c r="AR59" s="222">
        <f t="shared" si="14"/>
        <v>0</v>
      </c>
      <c r="AS59" s="222">
        <f t="shared" si="14"/>
        <v>0</v>
      </c>
      <c r="AT59" s="222">
        <f t="shared" si="14"/>
        <v>0</v>
      </c>
      <c r="AU59" s="222">
        <f t="shared" si="14"/>
        <v>6046</v>
      </c>
      <c r="AV59" s="222">
        <f t="shared" si="14"/>
        <v>0</v>
      </c>
      <c r="AW59" s="222">
        <f t="shared" si="14"/>
        <v>0</v>
      </c>
      <c r="AX59" s="222">
        <f t="shared" si="14"/>
        <v>300</v>
      </c>
      <c r="AY59" s="317">
        <f t="shared" si="1"/>
        <v>46602</v>
      </c>
      <c r="AZ59" s="15">
        <f t="shared" si="2"/>
        <v>50142</v>
      </c>
    </row>
    <row r="60" spans="1:52" ht="23.25" customHeight="1">
      <c r="A60" s="54">
        <v>56</v>
      </c>
      <c r="B60" s="160" t="s">
        <v>455</v>
      </c>
      <c r="C60" s="180" t="s">
        <v>456</v>
      </c>
      <c r="D60" s="273">
        <f>'[2]841112_011130'!$E$46</f>
        <v>100</v>
      </c>
      <c r="E60" s="134"/>
      <c r="F60" s="134"/>
      <c r="G60" s="134"/>
      <c r="H60" s="134"/>
      <c r="I60" s="134"/>
      <c r="J60" s="134"/>
      <c r="K60" s="134"/>
      <c r="L60" s="134"/>
      <c r="M60" s="265"/>
      <c r="N60" s="134"/>
      <c r="O60" s="220">
        <f t="shared" si="0"/>
        <v>100</v>
      </c>
      <c r="P60" s="317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>
        <f>'[3]813000_066010'!$E$61</f>
        <v>200</v>
      </c>
      <c r="AD60" s="134">
        <f>'[3]841154_013350'!$E$61</f>
        <v>415</v>
      </c>
      <c r="AE60" s="134"/>
      <c r="AF60" s="134"/>
      <c r="AG60" s="134"/>
      <c r="AH60" s="134"/>
      <c r="AI60" s="134">
        <f>'[3]862101_072111'!$E$61</f>
        <v>16</v>
      </c>
      <c r="AJ60" s="134"/>
      <c r="AK60" s="134"/>
      <c r="AL60" s="134"/>
      <c r="AM60" s="134">
        <f>'[3]869041_074031'!$E$61</f>
        <v>15</v>
      </c>
      <c r="AN60" s="134"/>
      <c r="AO60" s="134"/>
      <c r="AP60" s="134">
        <f>'[3]889928_107055'!$E$61</f>
        <v>100</v>
      </c>
      <c r="AQ60" s="134"/>
      <c r="AR60" s="134"/>
      <c r="AS60" s="134"/>
      <c r="AT60" s="134"/>
      <c r="AU60" s="134"/>
      <c r="AV60" s="134"/>
      <c r="AW60" s="134"/>
      <c r="AX60" s="134"/>
      <c r="AY60" s="317">
        <f t="shared" si="1"/>
        <v>746</v>
      </c>
      <c r="AZ60" s="15">
        <f t="shared" si="2"/>
        <v>846</v>
      </c>
    </row>
    <row r="61" spans="1:52" ht="23.25" customHeight="1">
      <c r="A61" s="55">
        <v>57</v>
      </c>
      <c r="B61" s="160" t="s">
        <v>457</v>
      </c>
      <c r="C61" s="180" t="s">
        <v>458</v>
      </c>
      <c r="D61" s="273">
        <f>'[2]841112_011130'!$E$47</f>
        <v>1950</v>
      </c>
      <c r="E61" s="134"/>
      <c r="F61" s="134"/>
      <c r="G61" s="134"/>
      <c r="H61" s="134"/>
      <c r="I61" s="134"/>
      <c r="J61" s="134"/>
      <c r="K61" s="134"/>
      <c r="L61" s="134"/>
      <c r="M61" s="265"/>
      <c r="N61" s="134"/>
      <c r="O61" s="220">
        <f t="shared" si="0"/>
        <v>1950</v>
      </c>
      <c r="P61" s="317">
        <f>'[3]851011_091110'!$E$62</f>
        <v>50</v>
      </c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>
        <f>'[3]841154_013350'!$E$62</f>
        <v>900</v>
      </c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317">
        <f t="shared" si="1"/>
        <v>900</v>
      </c>
      <c r="AZ61" s="15">
        <f t="shared" si="2"/>
        <v>2900</v>
      </c>
    </row>
    <row r="62" spans="1:52" ht="23.25" customHeight="1">
      <c r="A62" s="54">
        <v>58</v>
      </c>
      <c r="B62" s="160" t="s">
        <v>459</v>
      </c>
      <c r="C62" s="180" t="s">
        <v>460</v>
      </c>
      <c r="D62" s="273">
        <f>'[2]841112_011130'!$E$48</f>
        <v>0</v>
      </c>
      <c r="E62" s="134"/>
      <c r="F62" s="134"/>
      <c r="G62" s="134"/>
      <c r="H62" s="134"/>
      <c r="I62" s="134"/>
      <c r="J62" s="134"/>
      <c r="K62" s="134"/>
      <c r="L62" s="134"/>
      <c r="M62" s="265"/>
      <c r="N62" s="134"/>
      <c r="O62" s="220">
        <f t="shared" si="0"/>
        <v>0</v>
      </c>
      <c r="P62" s="317">
        <v>37</v>
      </c>
      <c r="Q62" s="134"/>
      <c r="R62" s="134"/>
      <c r="S62" s="134">
        <f>'[3]522000_045160'!$E$63</f>
        <v>150</v>
      </c>
      <c r="T62" s="134"/>
      <c r="U62" s="134"/>
      <c r="V62" s="134"/>
      <c r="W62" s="134"/>
      <c r="X62" s="134"/>
      <c r="Y62" s="134"/>
      <c r="Z62" s="134"/>
      <c r="AA62" s="134"/>
      <c r="AB62" s="134"/>
      <c r="AC62" s="134">
        <f>'[3]813000_066010'!$E$63</f>
        <v>80</v>
      </c>
      <c r="AD62" s="134">
        <f>'[3]841154_013350'!$E$63</f>
        <v>80</v>
      </c>
      <c r="AE62" s="134"/>
      <c r="AF62" s="134"/>
      <c r="AG62" s="134">
        <v>300</v>
      </c>
      <c r="AH62" s="134">
        <v>5806</v>
      </c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317">
        <f t="shared" si="1"/>
        <v>6416</v>
      </c>
      <c r="AZ62" s="15">
        <f t="shared" si="2"/>
        <v>6453</v>
      </c>
    </row>
    <row r="63" spans="1:52" ht="23.25" customHeight="1" thickBot="1">
      <c r="A63" s="54">
        <v>59</v>
      </c>
      <c r="B63" s="160" t="s">
        <v>461</v>
      </c>
      <c r="C63" s="180" t="s">
        <v>462</v>
      </c>
      <c r="D63" s="273">
        <f>'[2]841112_011130'!$E$49</f>
        <v>0</v>
      </c>
      <c r="E63" s="134"/>
      <c r="F63" s="134"/>
      <c r="G63" s="134"/>
      <c r="H63" s="134"/>
      <c r="I63" s="134"/>
      <c r="J63" s="134"/>
      <c r="K63" s="134"/>
      <c r="L63" s="134"/>
      <c r="M63" s="265"/>
      <c r="N63" s="134"/>
      <c r="O63" s="220">
        <f t="shared" si="0"/>
        <v>0</v>
      </c>
      <c r="P63" s="317">
        <f>'[3]851011_091110'!$E$64</f>
        <v>211</v>
      </c>
      <c r="Q63" s="134"/>
      <c r="R63" s="134"/>
      <c r="S63" s="134"/>
      <c r="T63" s="134"/>
      <c r="U63" s="134">
        <f>'[3]562913_096020'!$E$64</f>
        <v>120</v>
      </c>
      <c r="V63" s="134"/>
      <c r="W63" s="134"/>
      <c r="X63" s="134"/>
      <c r="Y63" s="134">
        <f>'[3]680002_013350'!$E$64</f>
        <v>100</v>
      </c>
      <c r="Z63" s="134"/>
      <c r="AA63" s="134"/>
      <c r="AB63" s="134"/>
      <c r="AC63" s="134"/>
      <c r="AD63" s="134">
        <v>500</v>
      </c>
      <c r="AE63" s="134"/>
      <c r="AF63" s="134">
        <f>'[3]841403_066020'!$E$64</f>
        <v>80</v>
      </c>
      <c r="AG63" s="134"/>
      <c r="AH63" s="134"/>
      <c r="AI63" s="134">
        <f>'[3]862101_072111'!$E$64</f>
        <v>200</v>
      </c>
      <c r="AJ63" s="134"/>
      <c r="AK63" s="134"/>
      <c r="AL63" s="134"/>
      <c r="AM63" s="134">
        <f>'[3]869041_074031'!$E$64</f>
        <v>100</v>
      </c>
      <c r="AN63" s="134"/>
      <c r="AO63" s="134"/>
      <c r="AP63" s="134">
        <f>'[3]889928_107055'!$E$64</f>
        <v>30</v>
      </c>
      <c r="AQ63" s="134"/>
      <c r="AR63" s="134"/>
      <c r="AS63" s="134"/>
      <c r="AT63" s="134"/>
      <c r="AU63" s="134"/>
      <c r="AV63" s="134"/>
      <c r="AW63" s="134"/>
      <c r="AX63" s="134"/>
      <c r="AY63" s="317">
        <f t="shared" si="1"/>
        <v>1130</v>
      </c>
      <c r="AZ63" s="15">
        <f t="shared" si="2"/>
        <v>1341</v>
      </c>
    </row>
    <row r="64" spans="1:52" ht="17.25" customHeight="1" thickBot="1">
      <c r="A64" s="54">
        <v>60</v>
      </c>
      <c r="B64" s="181" t="s">
        <v>463</v>
      </c>
      <c r="C64" s="179" t="s">
        <v>464</v>
      </c>
      <c r="D64" s="273">
        <f>SUM(D60:D63)</f>
        <v>2050</v>
      </c>
      <c r="E64" s="222">
        <f aca="true" t="shared" si="15" ref="E64:AX64">SUM(E60:E63)</f>
        <v>0</v>
      </c>
      <c r="F64" s="222"/>
      <c r="G64" s="222">
        <f t="shared" si="15"/>
        <v>0</v>
      </c>
      <c r="H64" s="222">
        <f t="shared" si="15"/>
        <v>0</v>
      </c>
      <c r="I64" s="222">
        <f t="shared" si="15"/>
        <v>0</v>
      </c>
      <c r="J64" s="222">
        <f t="shared" si="15"/>
        <v>0</v>
      </c>
      <c r="K64" s="222">
        <f t="shared" si="15"/>
        <v>0</v>
      </c>
      <c r="L64" s="222">
        <f t="shared" si="15"/>
        <v>0</v>
      </c>
      <c r="M64" s="273">
        <f t="shared" si="15"/>
        <v>0</v>
      </c>
      <c r="N64" s="222">
        <f t="shared" si="15"/>
        <v>0</v>
      </c>
      <c r="O64" s="220">
        <f t="shared" si="0"/>
        <v>2050</v>
      </c>
      <c r="P64" s="326">
        <f t="shared" si="15"/>
        <v>298</v>
      </c>
      <c r="Q64" s="222">
        <f t="shared" si="15"/>
        <v>0</v>
      </c>
      <c r="R64" s="222">
        <f t="shared" si="15"/>
        <v>0</v>
      </c>
      <c r="S64" s="222">
        <f t="shared" si="15"/>
        <v>150</v>
      </c>
      <c r="T64" s="222">
        <f t="shared" si="15"/>
        <v>0</v>
      </c>
      <c r="U64" s="222">
        <f t="shared" si="15"/>
        <v>120</v>
      </c>
      <c r="V64" s="222">
        <f t="shared" si="15"/>
        <v>0</v>
      </c>
      <c r="W64" s="222">
        <f t="shared" si="15"/>
        <v>0</v>
      </c>
      <c r="X64" s="222">
        <f t="shared" si="15"/>
        <v>0</v>
      </c>
      <c r="Y64" s="222">
        <f t="shared" si="15"/>
        <v>100</v>
      </c>
      <c r="Z64" s="222">
        <f t="shared" si="15"/>
        <v>0</v>
      </c>
      <c r="AA64" s="222">
        <f t="shared" si="15"/>
        <v>0</v>
      </c>
      <c r="AB64" s="222">
        <f t="shared" si="15"/>
        <v>0</v>
      </c>
      <c r="AC64" s="222">
        <f t="shared" si="15"/>
        <v>280</v>
      </c>
      <c r="AD64" s="222">
        <f t="shared" si="15"/>
        <v>1895</v>
      </c>
      <c r="AE64" s="222">
        <f t="shared" si="15"/>
        <v>0</v>
      </c>
      <c r="AF64" s="222">
        <f t="shared" si="15"/>
        <v>80</v>
      </c>
      <c r="AG64" s="222">
        <f t="shared" si="15"/>
        <v>300</v>
      </c>
      <c r="AH64" s="222">
        <f t="shared" si="15"/>
        <v>5806</v>
      </c>
      <c r="AI64" s="222">
        <f t="shared" si="15"/>
        <v>216</v>
      </c>
      <c r="AJ64" s="222">
        <f t="shared" si="15"/>
        <v>0</v>
      </c>
      <c r="AK64" s="222">
        <f t="shared" si="15"/>
        <v>0</v>
      </c>
      <c r="AL64" s="222">
        <f t="shared" si="15"/>
        <v>0</v>
      </c>
      <c r="AM64" s="222">
        <f t="shared" si="15"/>
        <v>115</v>
      </c>
      <c r="AN64" s="222">
        <f t="shared" si="15"/>
        <v>0</v>
      </c>
      <c r="AO64" s="222">
        <f t="shared" si="15"/>
        <v>0</v>
      </c>
      <c r="AP64" s="222">
        <f t="shared" si="15"/>
        <v>130</v>
      </c>
      <c r="AQ64" s="222">
        <f t="shared" si="15"/>
        <v>0</v>
      </c>
      <c r="AR64" s="222">
        <f t="shared" si="15"/>
        <v>0</v>
      </c>
      <c r="AS64" s="222">
        <f t="shared" si="15"/>
        <v>0</v>
      </c>
      <c r="AT64" s="222">
        <f t="shared" si="15"/>
        <v>0</v>
      </c>
      <c r="AU64" s="222">
        <f t="shared" si="15"/>
        <v>0</v>
      </c>
      <c r="AV64" s="222">
        <f t="shared" si="15"/>
        <v>0</v>
      </c>
      <c r="AW64" s="222">
        <f t="shared" si="15"/>
        <v>0</v>
      </c>
      <c r="AX64" s="222">
        <f t="shared" si="15"/>
        <v>0</v>
      </c>
      <c r="AY64" s="317">
        <f t="shared" si="1"/>
        <v>9192</v>
      </c>
      <c r="AZ64" s="15">
        <f t="shared" si="2"/>
        <v>11540</v>
      </c>
    </row>
    <row r="65" spans="1:52" ht="25.5" customHeight="1">
      <c r="A65" s="54">
        <v>61</v>
      </c>
      <c r="B65" s="182" t="s">
        <v>465</v>
      </c>
      <c r="C65" s="183" t="s">
        <v>466</v>
      </c>
      <c r="D65" s="274">
        <f aca="true" t="shared" si="16" ref="D65:N65">SUM(D64+D59+D55+D54+D50)</f>
        <v>2378</v>
      </c>
      <c r="E65" s="223">
        <f t="shared" si="16"/>
        <v>262</v>
      </c>
      <c r="F65" s="223">
        <f t="shared" si="16"/>
        <v>63</v>
      </c>
      <c r="G65" s="223">
        <f t="shared" si="16"/>
        <v>2978</v>
      </c>
      <c r="H65" s="223">
        <f t="shared" si="16"/>
        <v>0</v>
      </c>
      <c r="I65" s="223">
        <f t="shared" si="16"/>
        <v>0</v>
      </c>
      <c r="J65" s="223">
        <f t="shared" si="16"/>
        <v>0</v>
      </c>
      <c r="K65" s="223">
        <f t="shared" si="16"/>
        <v>269</v>
      </c>
      <c r="L65" s="223">
        <f t="shared" si="16"/>
        <v>0</v>
      </c>
      <c r="M65" s="274">
        <f t="shared" si="16"/>
        <v>0</v>
      </c>
      <c r="N65" s="223">
        <f t="shared" si="16"/>
        <v>0</v>
      </c>
      <c r="O65" s="220">
        <f t="shared" si="0"/>
        <v>5950</v>
      </c>
      <c r="P65" s="327">
        <f>SUM(P64+P59+P55+P54+P50)</f>
        <v>1784</v>
      </c>
      <c r="Q65" s="223">
        <f aca="true" t="shared" si="17" ref="Q65:AA65">SUM(Q64+Q59+Q55+Q54+Q50+Q51)</f>
        <v>6034</v>
      </c>
      <c r="R65" s="223">
        <f t="shared" si="17"/>
        <v>9650</v>
      </c>
      <c r="S65" s="223">
        <f t="shared" si="17"/>
        <v>2846</v>
      </c>
      <c r="T65" s="223">
        <f t="shared" si="17"/>
        <v>0</v>
      </c>
      <c r="U65" s="223">
        <f t="shared" si="17"/>
        <v>3093</v>
      </c>
      <c r="V65" s="223">
        <f t="shared" si="17"/>
        <v>0</v>
      </c>
      <c r="W65" s="223">
        <f t="shared" si="17"/>
        <v>0</v>
      </c>
      <c r="X65" s="223">
        <f t="shared" si="17"/>
        <v>100</v>
      </c>
      <c r="Y65" s="223">
        <f t="shared" si="17"/>
        <v>3700</v>
      </c>
      <c r="Z65" s="223">
        <f t="shared" si="17"/>
        <v>250</v>
      </c>
      <c r="AA65" s="223">
        <f t="shared" si="17"/>
        <v>0</v>
      </c>
      <c r="AB65" s="223">
        <f>SUM(AB64+AB59+AB55+AB54+AB50+AB51)</f>
        <v>250</v>
      </c>
      <c r="AC65" s="223">
        <f aca="true" t="shared" si="18" ref="AC65:AX65">SUM(AC64+AC59+AC55+AC54+AC50+AC51)</f>
        <v>3958</v>
      </c>
      <c r="AD65" s="223">
        <f t="shared" si="18"/>
        <v>7276</v>
      </c>
      <c r="AE65" s="223">
        <f t="shared" si="18"/>
        <v>13623</v>
      </c>
      <c r="AF65" s="223">
        <f t="shared" si="18"/>
        <v>16271</v>
      </c>
      <c r="AG65" s="223">
        <f t="shared" si="18"/>
        <v>900</v>
      </c>
      <c r="AH65" s="223">
        <f t="shared" si="18"/>
        <v>5965</v>
      </c>
      <c r="AI65" s="223">
        <f t="shared" si="18"/>
        <v>5660</v>
      </c>
      <c r="AJ65" s="223">
        <f t="shared" si="18"/>
        <v>1673</v>
      </c>
      <c r="AK65" s="223">
        <f t="shared" si="18"/>
        <v>300</v>
      </c>
      <c r="AL65" s="223">
        <f t="shared" si="18"/>
        <v>1200</v>
      </c>
      <c r="AM65" s="223">
        <f t="shared" si="18"/>
        <v>525</v>
      </c>
      <c r="AN65" s="223">
        <f t="shared" si="18"/>
        <v>0</v>
      </c>
      <c r="AO65" s="223">
        <f t="shared" si="18"/>
        <v>372</v>
      </c>
      <c r="AP65" s="223">
        <f t="shared" si="18"/>
        <v>330</v>
      </c>
      <c r="AQ65" s="223">
        <f t="shared" si="18"/>
        <v>0</v>
      </c>
      <c r="AR65" s="223">
        <f t="shared" si="18"/>
        <v>0</v>
      </c>
      <c r="AS65" s="223">
        <f t="shared" si="18"/>
        <v>0</v>
      </c>
      <c r="AT65" s="223">
        <f t="shared" si="18"/>
        <v>0</v>
      </c>
      <c r="AU65" s="223">
        <f t="shared" si="18"/>
        <v>6801</v>
      </c>
      <c r="AV65" s="223">
        <f t="shared" si="18"/>
        <v>232</v>
      </c>
      <c r="AW65" s="223">
        <f t="shared" si="18"/>
        <v>0</v>
      </c>
      <c r="AX65" s="223">
        <f t="shared" si="18"/>
        <v>350</v>
      </c>
      <c r="AY65" s="317">
        <f t="shared" si="1"/>
        <v>91359</v>
      </c>
      <c r="AZ65" s="15">
        <f t="shared" si="2"/>
        <v>99093</v>
      </c>
    </row>
    <row r="66" spans="1:52" ht="15">
      <c r="A66" s="55">
        <v>62</v>
      </c>
      <c r="B66" s="142" t="s">
        <v>467</v>
      </c>
      <c r="C66" s="180" t="s">
        <v>468</v>
      </c>
      <c r="D66" s="287">
        <v>50</v>
      </c>
      <c r="E66" s="134"/>
      <c r="F66" s="134"/>
      <c r="G66" s="134">
        <f>'[2]841403_066020'!$E$51</f>
        <v>72</v>
      </c>
      <c r="H66" s="134"/>
      <c r="I66" s="134"/>
      <c r="J66" s="134"/>
      <c r="K66" s="134"/>
      <c r="L66" s="134"/>
      <c r="M66" s="265"/>
      <c r="N66" s="134"/>
      <c r="O66" s="220">
        <f t="shared" si="0"/>
        <v>122</v>
      </c>
      <c r="P66" s="317">
        <f>'[3]851011_091110'!$E$67</f>
        <v>10</v>
      </c>
      <c r="Q66" s="134"/>
      <c r="R66" s="134"/>
      <c r="S66" s="134"/>
      <c r="T66" s="134"/>
      <c r="U66" s="134">
        <f>'[3]562913_096020'!$E$67</f>
        <v>30</v>
      </c>
      <c r="V66" s="134"/>
      <c r="W66" s="134"/>
      <c r="X66" s="134"/>
      <c r="Y66" s="134"/>
      <c r="Z66" s="134"/>
      <c r="AA66" s="134"/>
      <c r="AB66" s="134"/>
      <c r="AC66" s="134">
        <v>65</v>
      </c>
      <c r="AD66" s="134">
        <v>130</v>
      </c>
      <c r="AE66" s="134"/>
      <c r="AF66" s="134"/>
      <c r="AG66" s="134"/>
      <c r="AH66" s="134"/>
      <c r="AI66" s="134">
        <v>0</v>
      </c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317">
        <f t="shared" si="1"/>
        <v>225</v>
      </c>
      <c r="AZ66" s="15">
        <f t="shared" si="2"/>
        <v>357</v>
      </c>
    </row>
    <row r="67" spans="1:52" ht="15">
      <c r="A67" s="54">
        <v>63</v>
      </c>
      <c r="B67" s="142" t="s">
        <v>469</v>
      </c>
      <c r="C67" s="180" t="s">
        <v>470</v>
      </c>
      <c r="D67" s="287">
        <v>134</v>
      </c>
      <c r="E67" s="134"/>
      <c r="F67" s="134"/>
      <c r="G67" s="134"/>
      <c r="H67" s="134"/>
      <c r="I67" s="134"/>
      <c r="J67" s="134"/>
      <c r="K67" s="134"/>
      <c r="L67" s="134"/>
      <c r="M67" s="265"/>
      <c r="N67" s="134"/>
      <c r="O67" s="220">
        <f t="shared" si="0"/>
        <v>134</v>
      </c>
      <c r="P67" s="317">
        <f>'[3]851011_091110'!$E$68</f>
        <v>10</v>
      </c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>
        <v>316</v>
      </c>
      <c r="AE67" s="134"/>
      <c r="AF67" s="134">
        <f>'[3]841403_066020'!$E$68</f>
        <v>100</v>
      </c>
      <c r="AG67" s="134"/>
      <c r="AH67" s="134"/>
      <c r="AI67" s="134">
        <v>200</v>
      </c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317">
        <f t="shared" si="1"/>
        <v>616</v>
      </c>
      <c r="AZ67" s="15">
        <f t="shared" si="2"/>
        <v>760</v>
      </c>
    </row>
    <row r="68" spans="1:52" ht="24" customHeight="1">
      <c r="A68" s="54">
        <v>64</v>
      </c>
      <c r="B68" s="174" t="s">
        <v>471</v>
      </c>
      <c r="C68" s="183" t="s">
        <v>472</v>
      </c>
      <c r="D68" s="275">
        <f>SUM(D66:D67)</f>
        <v>184</v>
      </c>
      <c r="E68" s="224">
        <f aca="true" t="shared" si="19" ref="E68:AX68">SUM(E66:E67)</f>
        <v>0</v>
      </c>
      <c r="F68" s="224"/>
      <c r="G68" s="224">
        <f t="shared" si="19"/>
        <v>72</v>
      </c>
      <c r="H68" s="224">
        <f t="shared" si="19"/>
        <v>0</v>
      </c>
      <c r="I68" s="224">
        <f t="shared" si="19"/>
        <v>0</v>
      </c>
      <c r="J68" s="224">
        <f t="shared" si="19"/>
        <v>0</v>
      </c>
      <c r="K68" s="224">
        <f t="shared" si="19"/>
        <v>0</v>
      </c>
      <c r="L68" s="224">
        <f t="shared" si="19"/>
        <v>0</v>
      </c>
      <c r="M68" s="275">
        <f t="shared" si="19"/>
        <v>0</v>
      </c>
      <c r="N68" s="224">
        <f t="shared" si="19"/>
        <v>0</v>
      </c>
      <c r="O68" s="220">
        <f t="shared" si="0"/>
        <v>256</v>
      </c>
      <c r="P68" s="328">
        <f t="shared" si="19"/>
        <v>20</v>
      </c>
      <c r="Q68" s="224">
        <f t="shared" si="19"/>
        <v>0</v>
      </c>
      <c r="R68" s="224">
        <f t="shared" si="19"/>
        <v>0</v>
      </c>
      <c r="S68" s="224">
        <f t="shared" si="19"/>
        <v>0</v>
      </c>
      <c r="T68" s="224">
        <f t="shared" si="19"/>
        <v>0</v>
      </c>
      <c r="U68" s="224">
        <f t="shared" si="19"/>
        <v>30</v>
      </c>
      <c r="V68" s="224">
        <f t="shared" si="19"/>
        <v>0</v>
      </c>
      <c r="W68" s="224">
        <f t="shared" si="19"/>
        <v>0</v>
      </c>
      <c r="X68" s="224">
        <f t="shared" si="19"/>
        <v>0</v>
      </c>
      <c r="Y68" s="224">
        <f t="shared" si="19"/>
        <v>0</v>
      </c>
      <c r="Z68" s="224">
        <f t="shared" si="19"/>
        <v>0</v>
      </c>
      <c r="AA68" s="224">
        <f t="shared" si="19"/>
        <v>0</v>
      </c>
      <c r="AB68" s="224">
        <f t="shared" si="19"/>
        <v>0</v>
      </c>
      <c r="AC68" s="224">
        <f t="shared" si="19"/>
        <v>65</v>
      </c>
      <c r="AD68" s="224">
        <f t="shared" si="19"/>
        <v>446</v>
      </c>
      <c r="AE68" s="224">
        <f t="shared" si="19"/>
        <v>0</v>
      </c>
      <c r="AF68" s="224">
        <f t="shared" si="19"/>
        <v>100</v>
      </c>
      <c r="AG68" s="224">
        <f t="shared" si="19"/>
        <v>0</v>
      </c>
      <c r="AH68" s="224">
        <f t="shared" si="19"/>
        <v>0</v>
      </c>
      <c r="AI68" s="224">
        <f t="shared" si="19"/>
        <v>200</v>
      </c>
      <c r="AJ68" s="224">
        <f t="shared" si="19"/>
        <v>0</v>
      </c>
      <c r="AK68" s="224">
        <f t="shared" si="19"/>
        <v>0</v>
      </c>
      <c r="AL68" s="224">
        <f t="shared" si="19"/>
        <v>0</v>
      </c>
      <c r="AM68" s="224">
        <f t="shared" si="19"/>
        <v>0</v>
      </c>
      <c r="AN68" s="224">
        <f t="shared" si="19"/>
        <v>0</v>
      </c>
      <c r="AO68" s="224">
        <f t="shared" si="19"/>
        <v>0</v>
      </c>
      <c r="AP68" s="224">
        <f t="shared" si="19"/>
        <v>0</v>
      </c>
      <c r="AQ68" s="224">
        <f t="shared" si="19"/>
        <v>0</v>
      </c>
      <c r="AR68" s="224">
        <f t="shared" si="19"/>
        <v>0</v>
      </c>
      <c r="AS68" s="224">
        <f t="shared" si="19"/>
        <v>0</v>
      </c>
      <c r="AT68" s="224">
        <f t="shared" si="19"/>
        <v>0</v>
      </c>
      <c r="AU68" s="224">
        <f t="shared" si="19"/>
        <v>0</v>
      </c>
      <c r="AV68" s="224">
        <f t="shared" si="19"/>
        <v>0</v>
      </c>
      <c r="AW68" s="224">
        <f t="shared" si="19"/>
        <v>0</v>
      </c>
      <c r="AX68" s="224">
        <f t="shared" si="19"/>
        <v>0</v>
      </c>
      <c r="AY68" s="317">
        <f t="shared" si="1"/>
        <v>841</v>
      </c>
      <c r="AZ68" s="15">
        <f t="shared" si="2"/>
        <v>1117</v>
      </c>
    </row>
    <row r="69" spans="1:52" ht="26.25" customHeight="1" thickBot="1">
      <c r="A69" s="54">
        <v>65</v>
      </c>
      <c r="B69" s="178" t="s">
        <v>473</v>
      </c>
      <c r="C69" s="179" t="s">
        <v>474</v>
      </c>
      <c r="D69" s="276">
        <v>219</v>
      </c>
      <c r="E69" s="289">
        <v>38</v>
      </c>
      <c r="F69" s="289">
        <v>17</v>
      </c>
      <c r="G69" s="134">
        <f>'[2]841403_066020'!$E$54</f>
        <v>477</v>
      </c>
      <c r="H69" s="134"/>
      <c r="I69" s="134"/>
      <c r="J69" s="134"/>
      <c r="K69" s="134"/>
      <c r="L69" s="134"/>
      <c r="M69" s="265"/>
      <c r="N69" s="134"/>
      <c r="O69" s="220">
        <f t="shared" si="0"/>
        <v>751</v>
      </c>
      <c r="P69" s="329">
        <v>700</v>
      </c>
      <c r="Q69" s="134"/>
      <c r="R69" s="134">
        <f>'[3]381103_051030'!$E$70</f>
        <v>3127</v>
      </c>
      <c r="S69" s="134">
        <v>1112</v>
      </c>
      <c r="T69" s="134">
        <f>'[3]562912_096010'!$E$70</f>
        <v>961</v>
      </c>
      <c r="U69" s="134">
        <v>3827</v>
      </c>
      <c r="V69" s="134">
        <f>'[3]562917_999999'!$E$70</f>
        <v>703</v>
      </c>
      <c r="W69" s="134">
        <f>'[3]562916_081071'!$E$70</f>
        <v>564</v>
      </c>
      <c r="X69" s="134">
        <f>'[3]680001_013350'!$E$70</f>
        <v>54</v>
      </c>
      <c r="Y69" s="134">
        <f>'[3]680002_013350'!$E$70</f>
        <v>1026</v>
      </c>
      <c r="Z69" s="134"/>
      <c r="AA69" s="134"/>
      <c r="AB69" s="134">
        <f>'[3]811000_013350'!$E$70</f>
        <v>100</v>
      </c>
      <c r="AC69" s="134">
        <v>2614</v>
      </c>
      <c r="AD69" s="134">
        <v>2385</v>
      </c>
      <c r="AE69" s="99">
        <f>'[3]841402_064010'!$E$71</f>
        <v>3679</v>
      </c>
      <c r="AF69" s="134">
        <v>4382</v>
      </c>
      <c r="AG69" s="134">
        <f>'[3]842155_086030'!$E$70</f>
        <v>135</v>
      </c>
      <c r="AH69" s="134">
        <v>1630</v>
      </c>
      <c r="AI69" s="134">
        <v>432</v>
      </c>
      <c r="AJ69" s="134"/>
      <c r="AK69" s="134"/>
      <c r="AL69" s="134"/>
      <c r="AM69" s="134">
        <f>'[3]869041_074031'!$E$70</f>
        <v>193</v>
      </c>
      <c r="AN69" s="134">
        <f>'[3]889921_107051'!$E$70</f>
        <v>302</v>
      </c>
      <c r="AO69" s="134"/>
      <c r="AP69" s="134">
        <f>'[3]889928_107055'!$E$70</f>
        <v>350</v>
      </c>
      <c r="AQ69" s="134"/>
      <c r="AR69" s="134">
        <v>54</v>
      </c>
      <c r="AS69" s="134">
        <f>'[3]890444_041231'!$E$70</f>
        <v>29</v>
      </c>
      <c r="AT69" s="134">
        <f>'[3]910123_082092'!$E$70</f>
        <v>111</v>
      </c>
      <c r="AU69" s="134">
        <v>1847</v>
      </c>
      <c r="AV69" s="134">
        <v>153</v>
      </c>
      <c r="AW69" s="134">
        <f>'[3]940000_013390'!$E$70</f>
        <v>62</v>
      </c>
      <c r="AX69" s="134">
        <f>'[3]960302_013320'!$E$70</f>
        <v>108</v>
      </c>
      <c r="AY69" s="317">
        <f t="shared" si="1"/>
        <v>29940</v>
      </c>
      <c r="AZ69" s="15">
        <f t="shared" si="2"/>
        <v>31391</v>
      </c>
    </row>
    <row r="70" spans="1:52" ht="27" customHeight="1" thickBot="1">
      <c r="A70" s="54">
        <v>66</v>
      </c>
      <c r="B70" s="152" t="s">
        <v>475</v>
      </c>
      <c r="C70" s="179" t="s">
        <v>476</v>
      </c>
      <c r="D70" s="276">
        <f>'[2]841112_011130'!$E$55</f>
        <v>1350</v>
      </c>
      <c r="E70" s="134"/>
      <c r="F70" s="134"/>
      <c r="G70" s="134"/>
      <c r="H70" s="134"/>
      <c r="I70" s="134"/>
      <c r="J70" s="134"/>
      <c r="K70" s="134"/>
      <c r="L70" s="134"/>
      <c r="M70" s="265"/>
      <c r="N70" s="134"/>
      <c r="O70" s="220">
        <f aca="true" t="shared" si="20" ref="O70:O121">SUM(D70:N70)</f>
        <v>1350</v>
      </c>
      <c r="P70" s="317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>
        <f>'[3]841154_013350'!$E$71</f>
        <v>3400</v>
      </c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317">
        <f aca="true" t="shared" si="21" ref="AY70:AY121">SUM(Q70:AX70)</f>
        <v>3400</v>
      </c>
      <c r="AZ70" s="15">
        <f aca="true" t="shared" si="22" ref="AZ70:AZ121">O70+P70+AY70</f>
        <v>4750</v>
      </c>
    </row>
    <row r="71" spans="1:52" ht="15.75" thickBot="1">
      <c r="A71" s="55">
        <v>67</v>
      </c>
      <c r="B71" s="138" t="s">
        <v>477</v>
      </c>
      <c r="C71" s="179" t="s">
        <v>478</v>
      </c>
      <c r="D71" s="276"/>
      <c r="E71" s="134"/>
      <c r="F71" s="134"/>
      <c r="G71" s="134"/>
      <c r="H71" s="134"/>
      <c r="I71" s="134"/>
      <c r="J71" s="134"/>
      <c r="K71" s="134"/>
      <c r="L71" s="134"/>
      <c r="M71" s="265"/>
      <c r="N71" s="134"/>
      <c r="O71" s="220">
        <f t="shared" si="20"/>
        <v>0</v>
      </c>
      <c r="P71" s="317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317">
        <f t="shared" si="21"/>
        <v>0</v>
      </c>
      <c r="AZ71" s="15">
        <f t="shared" si="22"/>
        <v>0</v>
      </c>
    </row>
    <row r="72" spans="1:52" ht="24.75" customHeight="1">
      <c r="A72" s="54">
        <v>68</v>
      </c>
      <c r="B72" s="184" t="s">
        <v>479</v>
      </c>
      <c r="C72" s="185" t="s">
        <v>480</v>
      </c>
      <c r="D72" s="276"/>
      <c r="E72" s="134"/>
      <c r="F72" s="134"/>
      <c r="G72" s="134"/>
      <c r="H72" s="134"/>
      <c r="I72" s="134"/>
      <c r="J72" s="134"/>
      <c r="K72" s="134"/>
      <c r="L72" s="134"/>
      <c r="M72" s="265"/>
      <c r="N72" s="134"/>
      <c r="O72" s="220">
        <f t="shared" si="20"/>
        <v>0</v>
      </c>
      <c r="P72" s="317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317">
        <f t="shared" si="21"/>
        <v>0</v>
      </c>
      <c r="AZ72" s="15">
        <f t="shared" si="22"/>
        <v>0</v>
      </c>
    </row>
    <row r="73" spans="1:52" ht="24.75" customHeight="1">
      <c r="A73" s="54">
        <v>69</v>
      </c>
      <c r="B73" s="186" t="s">
        <v>481</v>
      </c>
      <c r="C73" s="187" t="s">
        <v>482</v>
      </c>
      <c r="D73" s="287">
        <v>4618</v>
      </c>
      <c r="E73" s="134"/>
      <c r="F73" s="134"/>
      <c r="G73" s="134"/>
      <c r="H73" s="134"/>
      <c r="I73" s="134"/>
      <c r="J73" s="134"/>
      <c r="K73" s="134"/>
      <c r="L73" s="134"/>
      <c r="M73" s="265"/>
      <c r="N73" s="134"/>
      <c r="O73" s="220">
        <f t="shared" si="20"/>
        <v>4618</v>
      </c>
      <c r="P73" s="317"/>
      <c r="Q73" s="134"/>
      <c r="R73" s="134">
        <f>'[3]381103_051030'!$E$74</f>
        <v>110</v>
      </c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>
        <f>'[3]813000_066010'!$E$74</f>
        <v>120</v>
      </c>
      <c r="AD73" s="134"/>
      <c r="AE73" s="134"/>
      <c r="AF73" s="134">
        <f>'[3]841403_066020'!$E$74</f>
        <v>1000</v>
      </c>
      <c r="AG73" s="134"/>
      <c r="AH73" s="134"/>
      <c r="AI73" s="134"/>
      <c r="AJ73" s="134"/>
      <c r="AK73" s="134"/>
      <c r="AL73" s="134"/>
      <c r="AM73" s="134"/>
      <c r="AN73" s="134"/>
      <c r="AO73" s="134"/>
      <c r="AP73" s="134">
        <f>'[3]889928_107055'!$E$74</f>
        <v>15</v>
      </c>
      <c r="AQ73" s="134"/>
      <c r="AR73" s="134"/>
      <c r="AS73" s="134"/>
      <c r="AT73" s="134"/>
      <c r="AU73" s="134"/>
      <c r="AV73" s="134"/>
      <c r="AW73" s="134"/>
      <c r="AX73" s="134"/>
      <c r="AY73" s="317">
        <f t="shared" si="21"/>
        <v>1245</v>
      </c>
      <c r="AZ73" s="15">
        <f t="shared" si="22"/>
        <v>5863</v>
      </c>
    </row>
    <row r="74" spans="1:52" ht="24.75" customHeight="1">
      <c r="A74" s="54">
        <v>70</v>
      </c>
      <c r="B74" s="186" t="s">
        <v>483</v>
      </c>
      <c r="C74" s="187" t="s">
        <v>484</v>
      </c>
      <c r="D74" s="287">
        <f>'[2]841112_011130'!$E$58</f>
        <v>34</v>
      </c>
      <c r="E74" s="134"/>
      <c r="F74" s="134"/>
      <c r="G74" s="134"/>
      <c r="H74" s="134"/>
      <c r="I74" s="134"/>
      <c r="J74" s="134"/>
      <c r="K74" s="134"/>
      <c r="L74" s="134"/>
      <c r="M74" s="265"/>
      <c r="N74" s="134"/>
      <c r="O74" s="220">
        <f t="shared" si="20"/>
        <v>34</v>
      </c>
      <c r="P74" s="317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>
        <f>'[3]813000_066010'!$E$75</f>
        <v>8</v>
      </c>
      <c r="AD74" s="134"/>
      <c r="AE74" s="134"/>
      <c r="AF74" s="134">
        <v>1000</v>
      </c>
      <c r="AG74" s="134"/>
      <c r="AH74" s="134"/>
      <c r="AI74" s="134"/>
      <c r="AJ74" s="134"/>
      <c r="AK74" s="134"/>
      <c r="AL74" s="134"/>
      <c r="AM74" s="134"/>
      <c r="AN74" s="134"/>
      <c r="AO74" s="134"/>
      <c r="AP74" s="134">
        <f>'[3]889928_107055'!$E$75</f>
        <v>8</v>
      </c>
      <c r="AQ74" s="134"/>
      <c r="AR74" s="134"/>
      <c r="AS74" s="134"/>
      <c r="AT74" s="134"/>
      <c r="AU74" s="134"/>
      <c r="AV74" s="134"/>
      <c r="AW74" s="134"/>
      <c r="AX74" s="134"/>
      <c r="AY74" s="317">
        <f t="shared" si="21"/>
        <v>1016</v>
      </c>
      <c r="AZ74" s="15">
        <f t="shared" si="22"/>
        <v>1050</v>
      </c>
    </row>
    <row r="75" spans="1:52" ht="15">
      <c r="A75" s="54">
        <v>71</v>
      </c>
      <c r="B75" s="34" t="s">
        <v>485</v>
      </c>
      <c r="C75" s="179" t="s">
        <v>212</v>
      </c>
      <c r="D75" s="276">
        <f>SUM(D73:D74)</f>
        <v>4652</v>
      </c>
      <c r="E75" s="214">
        <f aca="true" t="shared" si="23" ref="E75:AX75">SUM(E73:E74)</f>
        <v>0</v>
      </c>
      <c r="F75" s="214"/>
      <c r="G75" s="214">
        <f t="shared" si="23"/>
        <v>0</v>
      </c>
      <c r="H75" s="214">
        <f t="shared" si="23"/>
        <v>0</v>
      </c>
      <c r="I75" s="214">
        <f t="shared" si="23"/>
        <v>0</v>
      </c>
      <c r="J75" s="214">
        <f t="shared" si="23"/>
        <v>0</v>
      </c>
      <c r="K75" s="214">
        <f t="shared" si="23"/>
        <v>0</v>
      </c>
      <c r="L75" s="214">
        <f t="shared" si="23"/>
        <v>0</v>
      </c>
      <c r="M75" s="276">
        <f t="shared" si="23"/>
        <v>0</v>
      </c>
      <c r="N75" s="214">
        <f t="shared" si="23"/>
        <v>0</v>
      </c>
      <c r="O75" s="220">
        <f t="shared" si="20"/>
        <v>4652</v>
      </c>
      <c r="P75" s="330">
        <f t="shared" si="23"/>
        <v>0</v>
      </c>
      <c r="Q75" s="214">
        <f t="shared" si="23"/>
        <v>0</v>
      </c>
      <c r="R75" s="214">
        <f t="shared" si="23"/>
        <v>110</v>
      </c>
      <c r="S75" s="214">
        <f t="shared" si="23"/>
        <v>0</v>
      </c>
      <c r="T75" s="214">
        <f t="shared" si="23"/>
        <v>0</v>
      </c>
      <c r="U75" s="214">
        <f t="shared" si="23"/>
        <v>0</v>
      </c>
      <c r="V75" s="214">
        <f t="shared" si="23"/>
        <v>0</v>
      </c>
      <c r="W75" s="214">
        <f t="shared" si="23"/>
        <v>0</v>
      </c>
      <c r="X75" s="214">
        <f t="shared" si="23"/>
        <v>0</v>
      </c>
      <c r="Y75" s="214">
        <f t="shared" si="23"/>
        <v>0</v>
      </c>
      <c r="Z75" s="214">
        <f t="shared" si="23"/>
        <v>0</v>
      </c>
      <c r="AA75" s="214">
        <f t="shared" si="23"/>
        <v>0</v>
      </c>
      <c r="AB75" s="214">
        <f t="shared" si="23"/>
        <v>0</v>
      </c>
      <c r="AC75" s="214">
        <f t="shared" si="23"/>
        <v>128</v>
      </c>
      <c r="AD75" s="214">
        <f t="shared" si="23"/>
        <v>0</v>
      </c>
      <c r="AE75" s="214">
        <f t="shared" si="23"/>
        <v>0</v>
      </c>
      <c r="AF75" s="214">
        <f t="shared" si="23"/>
        <v>2000</v>
      </c>
      <c r="AG75" s="214">
        <f t="shared" si="23"/>
        <v>0</v>
      </c>
      <c r="AH75" s="214">
        <f t="shared" si="23"/>
        <v>0</v>
      </c>
      <c r="AI75" s="214">
        <f t="shared" si="23"/>
        <v>0</v>
      </c>
      <c r="AJ75" s="214">
        <f t="shared" si="23"/>
        <v>0</v>
      </c>
      <c r="AK75" s="214">
        <f t="shared" si="23"/>
        <v>0</v>
      </c>
      <c r="AL75" s="214">
        <f t="shared" si="23"/>
        <v>0</v>
      </c>
      <c r="AM75" s="214">
        <f t="shared" si="23"/>
        <v>0</v>
      </c>
      <c r="AN75" s="214">
        <f t="shared" si="23"/>
        <v>0</v>
      </c>
      <c r="AO75" s="214">
        <f t="shared" si="23"/>
        <v>0</v>
      </c>
      <c r="AP75" s="214">
        <f t="shared" si="23"/>
        <v>23</v>
      </c>
      <c r="AQ75" s="214">
        <f t="shared" si="23"/>
        <v>0</v>
      </c>
      <c r="AR75" s="214">
        <f t="shared" si="23"/>
        <v>0</v>
      </c>
      <c r="AS75" s="214">
        <f t="shared" si="23"/>
        <v>0</v>
      </c>
      <c r="AT75" s="214">
        <f t="shared" si="23"/>
        <v>0</v>
      </c>
      <c r="AU75" s="214">
        <f t="shared" si="23"/>
        <v>0</v>
      </c>
      <c r="AV75" s="214">
        <f t="shared" si="23"/>
        <v>0</v>
      </c>
      <c r="AW75" s="214">
        <f t="shared" si="23"/>
        <v>0</v>
      </c>
      <c r="AX75" s="214">
        <f t="shared" si="23"/>
        <v>0</v>
      </c>
      <c r="AY75" s="317">
        <f t="shared" si="21"/>
        <v>2261</v>
      </c>
      <c r="AZ75" s="15">
        <f t="shared" si="22"/>
        <v>6913</v>
      </c>
    </row>
    <row r="76" spans="1:52" ht="24.75" customHeight="1">
      <c r="A76" s="55">
        <v>72</v>
      </c>
      <c r="B76" s="188" t="s">
        <v>486</v>
      </c>
      <c r="C76" s="183" t="s">
        <v>487</v>
      </c>
      <c r="D76" s="275">
        <f>D75+D72+D71+D70+D69</f>
        <v>6221</v>
      </c>
      <c r="E76" s="224">
        <f aca="true" t="shared" si="24" ref="E76:AX76">E75+E72+E71+E70+E69</f>
        <v>38</v>
      </c>
      <c r="F76" s="224">
        <f t="shared" si="24"/>
        <v>17</v>
      </c>
      <c r="G76" s="224">
        <f t="shared" si="24"/>
        <v>477</v>
      </c>
      <c r="H76" s="224">
        <f t="shared" si="24"/>
        <v>0</v>
      </c>
      <c r="I76" s="224">
        <f t="shared" si="24"/>
        <v>0</v>
      </c>
      <c r="J76" s="224">
        <f t="shared" si="24"/>
        <v>0</v>
      </c>
      <c r="K76" s="224">
        <f t="shared" si="24"/>
        <v>0</v>
      </c>
      <c r="L76" s="224">
        <f t="shared" si="24"/>
        <v>0</v>
      </c>
      <c r="M76" s="275">
        <f t="shared" si="24"/>
        <v>0</v>
      </c>
      <c r="N76" s="224">
        <f t="shared" si="24"/>
        <v>0</v>
      </c>
      <c r="O76" s="220">
        <f t="shared" si="20"/>
        <v>6753</v>
      </c>
      <c r="P76" s="328">
        <f t="shared" si="24"/>
        <v>700</v>
      </c>
      <c r="Q76" s="224">
        <f t="shared" si="24"/>
        <v>0</v>
      </c>
      <c r="R76" s="224">
        <f t="shared" si="24"/>
        <v>3237</v>
      </c>
      <c r="S76" s="224">
        <f t="shared" si="24"/>
        <v>1112</v>
      </c>
      <c r="T76" s="224">
        <f t="shared" si="24"/>
        <v>961</v>
      </c>
      <c r="U76" s="224">
        <f t="shared" si="24"/>
        <v>3827</v>
      </c>
      <c r="V76" s="224">
        <f t="shared" si="24"/>
        <v>703</v>
      </c>
      <c r="W76" s="224">
        <f t="shared" si="24"/>
        <v>564</v>
      </c>
      <c r="X76" s="224">
        <f t="shared" si="24"/>
        <v>54</v>
      </c>
      <c r="Y76" s="224">
        <f t="shared" si="24"/>
        <v>1026</v>
      </c>
      <c r="Z76" s="224">
        <f t="shared" si="24"/>
        <v>0</v>
      </c>
      <c r="AA76" s="224">
        <f t="shared" si="24"/>
        <v>0</v>
      </c>
      <c r="AB76" s="224">
        <f t="shared" si="24"/>
        <v>100</v>
      </c>
      <c r="AC76" s="224">
        <f t="shared" si="24"/>
        <v>2742</v>
      </c>
      <c r="AD76" s="224">
        <f t="shared" si="24"/>
        <v>5785</v>
      </c>
      <c r="AE76" s="224">
        <f t="shared" si="24"/>
        <v>3679</v>
      </c>
      <c r="AF76" s="224">
        <f t="shared" si="24"/>
        <v>6382</v>
      </c>
      <c r="AG76" s="224">
        <f t="shared" si="24"/>
        <v>135</v>
      </c>
      <c r="AH76" s="224">
        <f t="shared" si="24"/>
        <v>1630</v>
      </c>
      <c r="AI76" s="224">
        <f t="shared" si="24"/>
        <v>432</v>
      </c>
      <c r="AJ76" s="224">
        <f t="shared" si="24"/>
        <v>0</v>
      </c>
      <c r="AK76" s="224">
        <f t="shared" si="24"/>
        <v>0</v>
      </c>
      <c r="AL76" s="224">
        <f t="shared" si="24"/>
        <v>0</v>
      </c>
      <c r="AM76" s="224">
        <f t="shared" si="24"/>
        <v>193</v>
      </c>
      <c r="AN76" s="224">
        <f t="shared" si="24"/>
        <v>302</v>
      </c>
      <c r="AO76" s="224">
        <f t="shared" si="24"/>
        <v>0</v>
      </c>
      <c r="AP76" s="224">
        <f t="shared" si="24"/>
        <v>373</v>
      </c>
      <c r="AQ76" s="224">
        <f t="shared" si="24"/>
        <v>0</v>
      </c>
      <c r="AR76" s="224">
        <f t="shared" si="24"/>
        <v>54</v>
      </c>
      <c r="AS76" s="224">
        <f t="shared" si="24"/>
        <v>29</v>
      </c>
      <c r="AT76" s="224">
        <f t="shared" si="24"/>
        <v>111</v>
      </c>
      <c r="AU76" s="224">
        <f t="shared" si="24"/>
        <v>1847</v>
      </c>
      <c r="AV76" s="224">
        <f t="shared" si="24"/>
        <v>153</v>
      </c>
      <c r="AW76" s="224">
        <f t="shared" si="24"/>
        <v>62</v>
      </c>
      <c r="AX76" s="224">
        <f t="shared" si="24"/>
        <v>108</v>
      </c>
      <c r="AY76" s="317">
        <f t="shared" si="21"/>
        <v>35601</v>
      </c>
      <c r="AZ76" s="15">
        <f t="shared" si="22"/>
        <v>43054</v>
      </c>
    </row>
    <row r="77" spans="1:52" ht="24.75" customHeight="1">
      <c r="A77" s="54">
        <v>73</v>
      </c>
      <c r="B77" s="189" t="s">
        <v>488</v>
      </c>
      <c r="C77" s="190" t="s">
        <v>489</v>
      </c>
      <c r="D77" s="274">
        <f>SUM(D76+D68+D65+D46+D42)</f>
        <v>9343</v>
      </c>
      <c r="E77" s="223">
        <f aca="true" t="shared" si="25" ref="E77:AX77">SUM(E76+E68+E65+E46+E42)</f>
        <v>300</v>
      </c>
      <c r="F77" s="223">
        <f t="shared" si="25"/>
        <v>80</v>
      </c>
      <c r="G77" s="223">
        <f t="shared" si="25"/>
        <v>3527</v>
      </c>
      <c r="H77" s="223">
        <f t="shared" si="25"/>
        <v>0</v>
      </c>
      <c r="I77" s="223">
        <f t="shared" si="25"/>
        <v>0</v>
      </c>
      <c r="J77" s="223">
        <f t="shared" si="25"/>
        <v>0</v>
      </c>
      <c r="K77" s="223">
        <f t="shared" si="25"/>
        <v>269</v>
      </c>
      <c r="L77" s="223">
        <f t="shared" si="25"/>
        <v>0</v>
      </c>
      <c r="M77" s="274">
        <f t="shared" si="25"/>
        <v>0</v>
      </c>
      <c r="N77" s="223">
        <f t="shared" si="25"/>
        <v>0</v>
      </c>
      <c r="O77" s="220">
        <f t="shared" si="20"/>
        <v>13519</v>
      </c>
      <c r="P77" s="327">
        <f t="shared" si="25"/>
        <v>3715</v>
      </c>
      <c r="Q77" s="223">
        <f t="shared" si="25"/>
        <v>6034</v>
      </c>
      <c r="R77" s="223">
        <f t="shared" si="25"/>
        <v>14857</v>
      </c>
      <c r="S77" s="223">
        <f t="shared" si="25"/>
        <v>5288</v>
      </c>
      <c r="T77" s="223">
        <f t="shared" si="25"/>
        <v>4517</v>
      </c>
      <c r="U77" s="223">
        <f t="shared" si="25"/>
        <v>18043</v>
      </c>
      <c r="V77" s="223">
        <f t="shared" si="25"/>
        <v>3305</v>
      </c>
      <c r="W77" s="223">
        <f t="shared" si="25"/>
        <v>2652</v>
      </c>
      <c r="X77" s="223">
        <f t="shared" si="25"/>
        <v>254</v>
      </c>
      <c r="Y77" s="223">
        <f t="shared" si="25"/>
        <v>4826</v>
      </c>
      <c r="Z77" s="223">
        <f t="shared" si="25"/>
        <v>250</v>
      </c>
      <c r="AA77" s="223">
        <f t="shared" si="25"/>
        <v>0</v>
      </c>
      <c r="AB77" s="223">
        <f t="shared" si="25"/>
        <v>470</v>
      </c>
      <c r="AC77" s="223">
        <f t="shared" si="25"/>
        <v>12681</v>
      </c>
      <c r="AD77" s="223">
        <f t="shared" si="25"/>
        <v>16937</v>
      </c>
      <c r="AE77" s="223">
        <f t="shared" si="25"/>
        <v>17302</v>
      </c>
      <c r="AF77" s="223">
        <f t="shared" si="25"/>
        <v>23072</v>
      </c>
      <c r="AG77" s="223">
        <f t="shared" si="25"/>
        <v>1035</v>
      </c>
      <c r="AH77" s="223">
        <f t="shared" si="25"/>
        <v>7827</v>
      </c>
      <c r="AI77" s="223">
        <f t="shared" si="25"/>
        <v>6803</v>
      </c>
      <c r="AJ77" s="223">
        <f t="shared" si="25"/>
        <v>1673</v>
      </c>
      <c r="AK77" s="223">
        <f t="shared" si="25"/>
        <v>300</v>
      </c>
      <c r="AL77" s="223">
        <f t="shared" si="25"/>
        <v>1200</v>
      </c>
      <c r="AM77" s="223">
        <f t="shared" si="25"/>
        <v>923</v>
      </c>
      <c r="AN77" s="223">
        <f t="shared" si="25"/>
        <v>1421</v>
      </c>
      <c r="AO77" s="223">
        <f t="shared" si="25"/>
        <v>372</v>
      </c>
      <c r="AP77" s="223">
        <f t="shared" si="25"/>
        <v>1758</v>
      </c>
      <c r="AQ77" s="223">
        <f t="shared" si="25"/>
        <v>0</v>
      </c>
      <c r="AR77" s="223">
        <f t="shared" si="25"/>
        <v>254</v>
      </c>
      <c r="AS77" s="223">
        <f t="shared" si="25"/>
        <v>137</v>
      </c>
      <c r="AT77" s="223">
        <f t="shared" si="25"/>
        <v>521</v>
      </c>
      <c r="AU77" s="223">
        <f t="shared" si="25"/>
        <v>9361</v>
      </c>
      <c r="AV77" s="223">
        <f t="shared" si="25"/>
        <v>715</v>
      </c>
      <c r="AW77" s="223">
        <f t="shared" si="25"/>
        <v>324</v>
      </c>
      <c r="AX77" s="223">
        <f t="shared" si="25"/>
        <v>508</v>
      </c>
      <c r="AY77" s="317">
        <f t="shared" si="21"/>
        <v>165620</v>
      </c>
      <c r="AZ77" s="15">
        <f t="shared" si="22"/>
        <v>182854</v>
      </c>
    </row>
    <row r="78" spans="1:52" ht="24.75" customHeight="1">
      <c r="A78" s="54">
        <v>74</v>
      </c>
      <c r="B78" s="210" t="s">
        <v>537</v>
      </c>
      <c r="C78" s="211" t="s">
        <v>538</v>
      </c>
      <c r="D78" s="274"/>
      <c r="E78" s="223"/>
      <c r="F78" s="223"/>
      <c r="G78" s="223"/>
      <c r="H78" s="223"/>
      <c r="I78" s="223"/>
      <c r="J78" s="223"/>
      <c r="K78" s="223"/>
      <c r="L78" s="223">
        <f>'[2]882202_101150'!$E$61</f>
        <v>310</v>
      </c>
      <c r="M78" s="274"/>
      <c r="N78" s="223"/>
      <c r="O78" s="220">
        <f t="shared" si="20"/>
        <v>310</v>
      </c>
      <c r="P78" s="327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3"/>
      <c r="AY78" s="317">
        <f t="shared" si="21"/>
        <v>0</v>
      </c>
      <c r="AZ78" s="15">
        <f t="shared" si="22"/>
        <v>310</v>
      </c>
    </row>
    <row r="79" spans="1:52" ht="24.75" customHeight="1">
      <c r="A79" s="54">
        <v>75</v>
      </c>
      <c r="B79" s="210" t="s">
        <v>539</v>
      </c>
      <c r="C79" s="212" t="s">
        <v>540</v>
      </c>
      <c r="D79" s="274"/>
      <c r="E79" s="223"/>
      <c r="F79" s="223"/>
      <c r="G79" s="223"/>
      <c r="H79" s="223"/>
      <c r="I79" s="223"/>
      <c r="J79" s="223"/>
      <c r="K79" s="223"/>
      <c r="L79" s="223">
        <f>'[2]882202_101150'!$E$62</f>
        <v>150</v>
      </c>
      <c r="M79" s="274"/>
      <c r="N79" s="223"/>
      <c r="O79" s="220">
        <f t="shared" si="20"/>
        <v>150</v>
      </c>
      <c r="P79" s="327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223"/>
      <c r="AR79" s="223"/>
      <c r="AS79" s="223"/>
      <c r="AT79" s="223"/>
      <c r="AU79" s="223"/>
      <c r="AV79" s="223"/>
      <c r="AW79" s="223"/>
      <c r="AX79" s="223"/>
      <c r="AY79" s="317">
        <f t="shared" si="21"/>
        <v>0</v>
      </c>
      <c r="AZ79" s="15">
        <f t="shared" si="22"/>
        <v>150</v>
      </c>
    </row>
    <row r="80" spans="1:52" ht="24.75" customHeight="1">
      <c r="A80" s="54">
        <v>76</v>
      </c>
      <c r="B80" s="213"/>
      <c r="C80" s="214" t="s">
        <v>541</v>
      </c>
      <c r="D80" s="274">
        <f>SUM(D78:D79)</f>
        <v>0</v>
      </c>
      <c r="E80" s="223">
        <f aca="true" t="shared" si="26" ref="E80:AX80">SUM(E78:E79)</f>
        <v>0</v>
      </c>
      <c r="F80" s="223"/>
      <c r="G80" s="223">
        <f t="shared" si="26"/>
        <v>0</v>
      </c>
      <c r="H80" s="223">
        <f t="shared" si="26"/>
        <v>0</v>
      </c>
      <c r="I80" s="223">
        <f t="shared" si="26"/>
        <v>0</v>
      </c>
      <c r="J80" s="223">
        <f t="shared" si="26"/>
        <v>0</v>
      </c>
      <c r="K80" s="223">
        <f t="shared" si="26"/>
        <v>0</v>
      </c>
      <c r="L80" s="223">
        <f t="shared" si="26"/>
        <v>460</v>
      </c>
      <c r="M80" s="274">
        <f t="shared" si="26"/>
        <v>0</v>
      </c>
      <c r="N80" s="223">
        <f t="shared" si="26"/>
        <v>0</v>
      </c>
      <c r="O80" s="220">
        <f t="shared" si="20"/>
        <v>460</v>
      </c>
      <c r="P80" s="327">
        <f t="shared" si="26"/>
        <v>0</v>
      </c>
      <c r="Q80" s="223">
        <f t="shared" si="26"/>
        <v>0</v>
      </c>
      <c r="R80" s="223">
        <f t="shared" si="26"/>
        <v>0</v>
      </c>
      <c r="S80" s="223">
        <f t="shared" si="26"/>
        <v>0</v>
      </c>
      <c r="T80" s="223">
        <f t="shared" si="26"/>
        <v>0</v>
      </c>
      <c r="U80" s="223">
        <f t="shared" si="26"/>
        <v>0</v>
      </c>
      <c r="V80" s="223">
        <f t="shared" si="26"/>
        <v>0</v>
      </c>
      <c r="W80" s="223">
        <f t="shared" si="26"/>
        <v>0</v>
      </c>
      <c r="X80" s="223">
        <f t="shared" si="26"/>
        <v>0</v>
      </c>
      <c r="Y80" s="223">
        <f t="shared" si="26"/>
        <v>0</v>
      </c>
      <c r="Z80" s="223">
        <f t="shared" si="26"/>
        <v>0</v>
      </c>
      <c r="AA80" s="223">
        <f t="shared" si="26"/>
        <v>0</v>
      </c>
      <c r="AB80" s="223">
        <f t="shared" si="26"/>
        <v>0</v>
      </c>
      <c r="AC80" s="223">
        <f t="shared" si="26"/>
        <v>0</v>
      </c>
      <c r="AD80" s="223">
        <f t="shared" si="26"/>
        <v>0</v>
      </c>
      <c r="AE80" s="223">
        <f t="shared" si="26"/>
        <v>0</v>
      </c>
      <c r="AF80" s="223">
        <f t="shared" si="26"/>
        <v>0</v>
      </c>
      <c r="AG80" s="223">
        <f t="shared" si="26"/>
        <v>0</v>
      </c>
      <c r="AH80" s="223">
        <f t="shared" si="26"/>
        <v>0</v>
      </c>
      <c r="AI80" s="223">
        <f t="shared" si="26"/>
        <v>0</v>
      </c>
      <c r="AJ80" s="223">
        <f t="shared" si="26"/>
        <v>0</v>
      </c>
      <c r="AK80" s="223">
        <f t="shared" si="26"/>
        <v>0</v>
      </c>
      <c r="AL80" s="223">
        <f t="shared" si="26"/>
        <v>0</v>
      </c>
      <c r="AM80" s="223">
        <f t="shared" si="26"/>
        <v>0</v>
      </c>
      <c r="AN80" s="223">
        <f t="shared" si="26"/>
        <v>0</v>
      </c>
      <c r="AO80" s="223">
        <f t="shared" si="26"/>
        <v>0</v>
      </c>
      <c r="AP80" s="223">
        <f t="shared" si="26"/>
        <v>0</v>
      </c>
      <c r="AQ80" s="223">
        <f t="shared" si="26"/>
        <v>0</v>
      </c>
      <c r="AR80" s="223">
        <f t="shared" si="26"/>
        <v>0</v>
      </c>
      <c r="AS80" s="223">
        <f t="shared" si="26"/>
        <v>0</v>
      </c>
      <c r="AT80" s="223">
        <f t="shared" si="26"/>
        <v>0</v>
      </c>
      <c r="AU80" s="223">
        <f t="shared" si="26"/>
        <v>0</v>
      </c>
      <c r="AV80" s="223">
        <f t="shared" si="26"/>
        <v>0</v>
      </c>
      <c r="AW80" s="223">
        <f t="shared" si="26"/>
        <v>0</v>
      </c>
      <c r="AX80" s="223">
        <f t="shared" si="26"/>
        <v>0</v>
      </c>
      <c r="AY80" s="317">
        <f t="shared" si="21"/>
        <v>0</v>
      </c>
      <c r="AZ80" s="15">
        <f t="shared" si="22"/>
        <v>460</v>
      </c>
    </row>
    <row r="81" spans="1:52" ht="24.75" customHeight="1">
      <c r="A81" s="55">
        <v>77</v>
      </c>
      <c r="B81" s="210" t="s">
        <v>542</v>
      </c>
      <c r="C81" s="212" t="s">
        <v>543</v>
      </c>
      <c r="D81" s="274"/>
      <c r="E81" s="223"/>
      <c r="F81" s="223"/>
      <c r="G81" s="223"/>
      <c r="H81" s="223"/>
      <c r="I81" s="223">
        <f>'[2]882113_106020'!$E$64</f>
        <v>800</v>
      </c>
      <c r="J81" s="223"/>
      <c r="K81" s="223">
        <v>259</v>
      </c>
      <c r="L81" s="223"/>
      <c r="M81" s="274"/>
      <c r="N81" s="223"/>
      <c r="O81" s="220">
        <f t="shared" si="20"/>
        <v>1059</v>
      </c>
      <c r="P81" s="327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  <c r="AQ81" s="223"/>
      <c r="AR81" s="223"/>
      <c r="AS81" s="223"/>
      <c r="AT81" s="223"/>
      <c r="AU81" s="223"/>
      <c r="AV81" s="223"/>
      <c r="AW81" s="223"/>
      <c r="AX81" s="223"/>
      <c r="AY81" s="317">
        <f t="shared" si="21"/>
        <v>0</v>
      </c>
      <c r="AZ81" s="15">
        <f t="shared" si="22"/>
        <v>1059</v>
      </c>
    </row>
    <row r="82" spans="1:52" ht="24.75" customHeight="1">
      <c r="A82" s="54">
        <v>78</v>
      </c>
      <c r="B82" s="210"/>
      <c r="C82" s="212" t="s">
        <v>544</v>
      </c>
      <c r="D82" s="274"/>
      <c r="E82" s="223"/>
      <c r="F82" s="223"/>
      <c r="G82" s="223"/>
      <c r="H82" s="223"/>
      <c r="I82" s="223"/>
      <c r="J82" s="223"/>
      <c r="K82" s="223"/>
      <c r="L82" s="223"/>
      <c r="M82" s="274"/>
      <c r="N82" s="223"/>
      <c r="O82" s="220">
        <f t="shared" si="20"/>
        <v>0</v>
      </c>
      <c r="P82" s="327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223"/>
      <c r="AT82" s="223"/>
      <c r="AU82" s="223"/>
      <c r="AV82" s="223"/>
      <c r="AW82" s="223"/>
      <c r="AX82" s="223"/>
      <c r="AY82" s="317">
        <f t="shared" si="21"/>
        <v>0</v>
      </c>
      <c r="AZ82" s="15">
        <f t="shared" si="22"/>
        <v>0</v>
      </c>
    </row>
    <row r="83" spans="1:52" ht="24.75" customHeight="1">
      <c r="A83" s="54">
        <v>79</v>
      </c>
      <c r="B83" s="213"/>
      <c r="C83" s="215" t="s">
        <v>565</v>
      </c>
      <c r="D83" s="274">
        <f>SUM(D81:D82)</f>
        <v>0</v>
      </c>
      <c r="E83" s="223">
        <f aca="true" t="shared" si="27" ref="E83:AX83">SUM(E81:E82)</f>
        <v>0</v>
      </c>
      <c r="F83" s="223"/>
      <c r="G83" s="223">
        <f t="shared" si="27"/>
        <v>0</v>
      </c>
      <c r="H83" s="223">
        <f t="shared" si="27"/>
        <v>0</v>
      </c>
      <c r="I83" s="223">
        <f t="shared" si="27"/>
        <v>800</v>
      </c>
      <c r="J83" s="223">
        <f t="shared" si="27"/>
        <v>0</v>
      </c>
      <c r="K83" s="223">
        <f t="shared" si="27"/>
        <v>259</v>
      </c>
      <c r="L83" s="223">
        <f t="shared" si="27"/>
        <v>0</v>
      </c>
      <c r="M83" s="274">
        <f t="shared" si="27"/>
        <v>0</v>
      </c>
      <c r="N83" s="223">
        <f t="shared" si="27"/>
        <v>0</v>
      </c>
      <c r="O83" s="220">
        <f t="shared" si="20"/>
        <v>1059</v>
      </c>
      <c r="P83" s="327">
        <f t="shared" si="27"/>
        <v>0</v>
      </c>
      <c r="Q83" s="223">
        <f t="shared" si="27"/>
        <v>0</v>
      </c>
      <c r="R83" s="223">
        <f t="shared" si="27"/>
        <v>0</v>
      </c>
      <c r="S83" s="223">
        <f t="shared" si="27"/>
        <v>0</v>
      </c>
      <c r="T83" s="223">
        <f t="shared" si="27"/>
        <v>0</v>
      </c>
      <c r="U83" s="223">
        <f t="shared" si="27"/>
        <v>0</v>
      </c>
      <c r="V83" s="223">
        <f t="shared" si="27"/>
        <v>0</v>
      </c>
      <c r="W83" s="223">
        <f t="shared" si="27"/>
        <v>0</v>
      </c>
      <c r="X83" s="223">
        <f t="shared" si="27"/>
        <v>0</v>
      </c>
      <c r="Y83" s="223">
        <f t="shared" si="27"/>
        <v>0</v>
      </c>
      <c r="Z83" s="223">
        <f t="shared" si="27"/>
        <v>0</v>
      </c>
      <c r="AA83" s="223">
        <f t="shared" si="27"/>
        <v>0</v>
      </c>
      <c r="AB83" s="223">
        <f t="shared" si="27"/>
        <v>0</v>
      </c>
      <c r="AC83" s="223">
        <f t="shared" si="27"/>
        <v>0</v>
      </c>
      <c r="AD83" s="223">
        <f t="shared" si="27"/>
        <v>0</v>
      </c>
      <c r="AE83" s="223">
        <f t="shared" si="27"/>
        <v>0</v>
      </c>
      <c r="AF83" s="223">
        <f t="shared" si="27"/>
        <v>0</v>
      </c>
      <c r="AG83" s="223">
        <f t="shared" si="27"/>
        <v>0</v>
      </c>
      <c r="AH83" s="223">
        <f t="shared" si="27"/>
        <v>0</v>
      </c>
      <c r="AI83" s="223">
        <f t="shared" si="27"/>
        <v>0</v>
      </c>
      <c r="AJ83" s="223">
        <f t="shared" si="27"/>
        <v>0</v>
      </c>
      <c r="AK83" s="223">
        <f t="shared" si="27"/>
        <v>0</v>
      </c>
      <c r="AL83" s="223">
        <f t="shared" si="27"/>
        <v>0</v>
      </c>
      <c r="AM83" s="223">
        <f t="shared" si="27"/>
        <v>0</v>
      </c>
      <c r="AN83" s="223">
        <f t="shared" si="27"/>
        <v>0</v>
      </c>
      <c r="AO83" s="223">
        <f t="shared" si="27"/>
        <v>0</v>
      </c>
      <c r="AP83" s="223">
        <f t="shared" si="27"/>
        <v>0</v>
      </c>
      <c r="AQ83" s="223">
        <f t="shared" si="27"/>
        <v>0</v>
      </c>
      <c r="AR83" s="223">
        <f t="shared" si="27"/>
        <v>0</v>
      </c>
      <c r="AS83" s="223">
        <f t="shared" si="27"/>
        <v>0</v>
      </c>
      <c r="AT83" s="223">
        <f t="shared" si="27"/>
        <v>0</v>
      </c>
      <c r="AU83" s="223">
        <f t="shared" si="27"/>
        <v>0</v>
      </c>
      <c r="AV83" s="223">
        <f t="shared" si="27"/>
        <v>0</v>
      </c>
      <c r="AW83" s="223">
        <f t="shared" si="27"/>
        <v>0</v>
      </c>
      <c r="AX83" s="223">
        <f t="shared" si="27"/>
        <v>0</v>
      </c>
      <c r="AY83" s="317">
        <f t="shared" si="21"/>
        <v>0</v>
      </c>
      <c r="AZ83" s="15">
        <f t="shared" si="22"/>
        <v>1059</v>
      </c>
    </row>
    <row r="84" spans="1:52" ht="24.75" customHeight="1">
      <c r="A84" s="54">
        <v>80</v>
      </c>
      <c r="B84" s="210" t="s">
        <v>545</v>
      </c>
      <c r="C84" s="215" t="s">
        <v>546</v>
      </c>
      <c r="D84" s="274"/>
      <c r="E84" s="223"/>
      <c r="F84" s="223"/>
      <c r="G84" s="223"/>
      <c r="H84" s="223">
        <f>'[2]854234_094260'!$E$67</f>
        <v>330</v>
      </c>
      <c r="I84" s="223"/>
      <c r="J84" s="223"/>
      <c r="K84" s="223"/>
      <c r="L84" s="223"/>
      <c r="M84" s="274"/>
      <c r="N84" s="223"/>
      <c r="O84" s="220">
        <f t="shared" si="20"/>
        <v>330</v>
      </c>
      <c r="P84" s="327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223"/>
      <c r="AT84" s="223"/>
      <c r="AU84" s="223"/>
      <c r="AV84" s="223"/>
      <c r="AW84" s="223"/>
      <c r="AX84" s="223"/>
      <c r="AY84" s="317">
        <f t="shared" si="21"/>
        <v>0</v>
      </c>
      <c r="AZ84" s="15">
        <f t="shared" si="22"/>
        <v>330</v>
      </c>
    </row>
    <row r="85" spans="1:52" ht="24.75" customHeight="1">
      <c r="A85" s="54">
        <v>81</v>
      </c>
      <c r="B85" s="210" t="s">
        <v>547</v>
      </c>
      <c r="C85" s="212" t="s">
        <v>548</v>
      </c>
      <c r="D85" s="274"/>
      <c r="E85" s="223"/>
      <c r="F85" s="223"/>
      <c r="G85" s="223"/>
      <c r="H85" s="223"/>
      <c r="I85" s="223"/>
      <c r="J85" s="223">
        <f>'[2]882123_103010'!$E$68</f>
        <v>1000</v>
      </c>
      <c r="K85" s="223">
        <f>'[2]882129_107060'!$E$68</f>
        <v>4650</v>
      </c>
      <c r="L85" s="223"/>
      <c r="M85" s="274"/>
      <c r="N85" s="223"/>
      <c r="O85" s="220">
        <f t="shared" si="20"/>
        <v>5650</v>
      </c>
      <c r="P85" s="327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223"/>
      <c r="AQ85" s="223"/>
      <c r="AR85" s="223"/>
      <c r="AS85" s="223"/>
      <c r="AT85" s="223"/>
      <c r="AU85" s="223"/>
      <c r="AV85" s="223"/>
      <c r="AW85" s="223"/>
      <c r="AX85" s="223"/>
      <c r="AY85" s="317">
        <f t="shared" si="21"/>
        <v>0</v>
      </c>
      <c r="AZ85" s="15">
        <f t="shared" si="22"/>
        <v>5650</v>
      </c>
    </row>
    <row r="86" spans="1:52" ht="24.75" customHeight="1">
      <c r="A86" s="55">
        <v>82</v>
      </c>
      <c r="B86" s="210" t="s">
        <v>549</v>
      </c>
      <c r="C86" s="212" t="s">
        <v>550</v>
      </c>
      <c r="D86" s="274"/>
      <c r="E86" s="223"/>
      <c r="F86" s="223"/>
      <c r="G86" s="223"/>
      <c r="H86" s="223"/>
      <c r="I86" s="223"/>
      <c r="J86" s="223">
        <f>'[2]882123_103010'!$E$69</f>
        <v>150</v>
      </c>
      <c r="K86" s="223"/>
      <c r="L86" s="223"/>
      <c r="M86" s="274"/>
      <c r="N86" s="223"/>
      <c r="O86" s="220">
        <f t="shared" si="20"/>
        <v>150</v>
      </c>
      <c r="P86" s="327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223"/>
      <c r="AT86" s="223"/>
      <c r="AU86" s="223"/>
      <c r="AV86" s="223"/>
      <c r="AW86" s="223"/>
      <c r="AX86" s="223"/>
      <c r="AY86" s="317">
        <f t="shared" si="21"/>
        <v>0</v>
      </c>
      <c r="AZ86" s="15">
        <f t="shared" si="22"/>
        <v>150</v>
      </c>
    </row>
    <row r="87" spans="1:52" ht="24.75" customHeight="1">
      <c r="A87" s="54">
        <v>83</v>
      </c>
      <c r="B87" s="210"/>
      <c r="C87" s="212" t="s">
        <v>551</v>
      </c>
      <c r="D87" s="274"/>
      <c r="E87" s="223"/>
      <c r="F87" s="223"/>
      <c r="G87" s="223"/>
      <c r="H87" s="223"/>
      <c r="I87" s="223"/>
      <c r="J87" s="223"/>
      <c r="K87" s="223"/>
      <c r="L87" s="223"/>
      <c r="M87" s="274"/>
      <c r="N87" s="223"/>
      <c r="O87" s="220">
        <f t="shared" si="20"/>
        <v>0</v>
      </c>
      <c r="P87" s="327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223"/>
      <c r="AO87" s="223"/>
      <c r="AP87" s="223"/>
      <c r="AQ87" s="223"/>
      <c r="AR87" s="223"/>
      <c r="AS87" s="223"/>
      <c r="AT87" s="223"/>
      <c r="AU87" s="223"/>
      <c r="AV87" s="223"/>
      <c r="AW87" s="223"/>
      <c r="AX87" s="223"/>
      <c r="AY87" s="317">
        <f t="shared" si="21"/>
        <v>0</v>
      </c>
      <c r="AZ87" s="15">
        <f t="shared" si="22"/>
        <v>0</v>
      </c>
    </row>
    <row r="88" spans="1:52" ht="24.75" customHeight="1">
      <c r="A88" s="54">
        <v>84</v>
      </c>
      <c r="B88" s="210" t="s">
        <v>552</v>
      </c>
      <c r="C88" s="212" t="s">
        <v>553</v>
      </c>
      <c r="D88" s="274"/>
      <c r="E88" s="223"/>
      <c r="F88" s="223"/>
      <c r="G88" s="223"/>
      <c r="H88" s="223"/>
      <c r="I88" s="223"/>
      <c r="J88" s="223"/>
      <c r="K88" s="223"/>
      <c r="L88" s="223"/>
      <c r="M88" s="274"/>
      <c r="N88" s="223"/>
      <c r="O88" s="220">
        <f t="shared" si="20"/>
        <v>0</v>
      </c>
      <c r="P88" s="327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23"/>
      <c r="AR88" s="223"/>
      <c r="AS88" s="223"/>
      <c r="AT88" s="223"/>
      <c r="AU88" s="223"/>
      <c r="AV88" s="223"/>
      <c r="AW88" s="223"/>
      <c r="AX88" s="223"/>
      <c r="AY88" s="317">
        <f t="shared" si="21"/>
        <v>0</v>
      </c>
      <c r="AZ88" s="15">
        <f t="shared" si="22"/>
        <v>0</v>
      </c>
    </row>
    <row r="89" spans="1:52" ht="24.75" customHeight="1">
      <c r="A89" s="54">
        <v>85</v>
      </c>
      <c r="B89" s="210" t="s">
        <v>554</v>
      </c>
      <c r="C89" s="212" t="s">
        <v>555</v>
      </c>
      <c r="D89" s="274"/>
      <c r="E89" s="223"/>
      <c r="F89" s="223"/>
      <c r="G89" s="223"/>
      <c r="H89" s="223"/>
      <c r="I89" s="223"/>
      <c r="J89" s="223"/>
      <c r="K89" s="223">
        <f>'[2]882129_107060'!$E$72</f>
        <v>1280</v>
      </c>
      <c r="L89" s="223"/>
      <c r="M89" s="274"/>
      <c r="N89" s="223"/>
      <c r="O89" s="220">
        <f t="shared" si="20"/>
        <v>1280</v>
      </c>
      <c r="P89" s="327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23"/>
      <c r="AR89" s="223"/>
      <c r="AS89" s="223"/>
      <c r="AT89" s="223"/>
      <c r="AU89" s="223"/>
      <c r="AV89" s="223"/>
      <c r="AW89" s="223"/>
      <c r="AX89" s="223"/>
      <c r="AY89" s="317">
        <f t="shared" si="21"/>
        <v>0</v>
      </c>
      <c r="AZ89" s="15">
        <f t="shared" si="22"/>
        <v>1280</v>
      </c>
    </row>
    <row r="90" spans="1:52" ht="24.75" customHeight="1">
      <c r="A90" s="54">
        <v>86</v>
      </c>
      <c r="B90" s="213"/>
      <c r="C90" s="214" t="s">
        <v>556</v>
      </c>
      <c r="D90" s="274">
        <f>SUM(D85:D89)</f>
        <v>0</v>
      </c>
      <c r="E90" s="223">
        <f aca="true" t="shared" si="28" ref="E90:AX90">SUM(E85:E89)</f>
        <v>0</v>
      </c>
      <c r="F90" s="223"/>
      <c r="G90" s="223">
        <f t="shared" si="28"/>
        <v>0</v>
      </c>
      <c r="H90" s="223">
        <f t="shared" si="28"/>
        <v>0</v>
      </c>
      <c r="I90" s="223">
        <f t="shared" si="28"/>
        <v>0</v>
      </c>
      <c r="J90" s="223">
        <f t="shared" si="28"/>
        <v>1150</v>
      </c>
      <c r="K90" s="223">
        <f t="shared" si="28"/>
        <v>5930</v>
      </c>
      <c r="L90" s="223">
        <f t="shared" si="28"/>
        <v>0</v>
      </c>
      <c r="M90" s="274">
        <f t="shared" si="28"/>
        <v>0</v>
      </c>
      <c r="N90" s="223">
        <f t="shared" si="28"/>
        <v>0</v>
      </c>
      <c r="O90" s="220">
        <f t="shared" si="20"/>
        <v>7080</v>
      </c>
      <c r="P90" s="327">
        <f t="shared" si="28"/>
        <v>0</v>
      </c>
      <c r="Q90" s="223">
        <f t="shared" si="28"/>
        <v>0</v>
      </c>
      <c r="R90" s="223">
        <f t="shared" si="28"/>
        <v>0</v>
      </c>
      <c r="S90" s="223">
        <f t="shared" si="28"/>
        <v>0</v>
      </c>
      <c r="T90" s="223">
        <f t="shared" si="28"/>
        <v>0</v>
      </c>
      <c r="U90" s="223">
        <f t="shared" si="28"/>
        <v>0</v>
      </c>
      <c r="V90" s="223">
        <f t="shared" si="28"/>
        <v>0</v>
      </c>
      <c r="W90" s="223">
        <f t="shared" si="28"/>
        <v>0</v>
      </c>
      <c r="X90" s="223">
        <f t="shared" si="28"/>
        <v>0</v>
      </c>
      <c r="Y90" s="223">
        <f t="shared" si="28"/>
        <v>0</v>
      </c>
      <c r="Z90" s="223">
        <f t="shared" si="28"/>
        <v>0</v>
      </c>
      <c r="AA90" s="223">
        <f t="shared" si="28"/>
        <v>0</v>
      </c>
      <c r="AB90" s="223">
        <f t="shared" si="28"/>
        <v>0</v>
      </c>
      <c r="AC90" s="223">
        <f t="shared" si="28"/>
        <v>0</v>
      </c>
      <c r="AD90" s="223">
        <f t="shared" si="28"/>
        <v>0</v>
      </c>
      <c r="AE90" s="223">
        <f t="shared" si="28"/>
        <v>0</v>
      </c>
      <c r="AF90" s="223">
        <f t="shared" si="28"/>
        <v>0</v>
      </c>
      <c r="AG90" s="223">
        <f t="shared" si="28"/>
        <v>0</v>
      </c>
      <c r="AH90" s="223">
        <f t="shared" si="28"/>
        <v>0</v>
      </c>
      <c r="AI90" s="223">
        <f t="shared" si="28"/>
        <v>0</v>
      </c>
      <c r="AJ90" s="223">
        <f t="shared" si="28"/>
        <v>0</v>
      </c>
      <c r="AK90" s="223">
        <f t="shared" si="28"/>
        <v>0</v>
      </c>
      <c r="AL90" s="223">
        <f t="shared" si="28"/>
        <v>0</v>
      </c>
      <c r="AM90" s="223">
        <f t="shared" si="28"/>
        <v>0</v>
      </c>
      <c r="AN90" s="223">
        <f t="shared" si="28"/>
        <v>0</v>
      </c>
      <c r="AO90" s="223">
        <f t="shared" si="28"/>
        <v>0</v>
      </c>
      <c r="AP90" s="223">
        <f t="shared" si="28"/>
        <v>0</v>
      </c>
      <c r="AQ90" s="223">
        <f t="shared" si="28"/>
        <v>0</v>
      </c>
      <c r="AR90" s="223">
        <f t="shared" si="28"/>
        <v>0</v>
      </c>
      <c r="AS90" s="223">
        <f t="shared" si="28"/>
        <v>0</v>
      </c>
      <c r="AT90" s="223">
        <f t="shared" si="28"/>
        <v>0</v>
      </c>
      <c r="AU90" s="223">
        <f t="shared" si="28"/>
        <v>0</v>
      </c>
      <c r="AV90" s="223">
        <f t="shared" si="28"/>
        <v>0</v>
      </c>
      <c r="AW90" s="223">
        <f t="shared" si="28"/>
        <v>0</v>
      </c>
      <c r="AX90" s="223">
        <f t="shared" si="28"/>
        <v>0</v>
      </c>
      <c r="AY90" s="317">
        <f t="shared" si="21"/>
        <v>0</v>
      </c>
      <c r="AZ90" s="15">
        <f t="shared" si="22"/>
        <v>7080</v>
      </c>
    </row>
    <row r="91" spans="1:52" ht="24.75" customHeight="1">
      <c r="A91" s="55">
        <v>87</v>
      </c>
      <c r="B91" s="213"/>
      <c r="C91" s="215" t="s">
        <v>557</v>
      </c>
      <c r="D91" s="274">
        <f>D90+D84+D83+D80</f>
        <v>0</v>
      </c>
      <c r="E91" s="223">
        <f aca="true" t="shared" si="29" ref="E91:AX91">E90+E84+E83+E80</f>
        <v>0</v>
      </c>
      <c r="F91" s="223"/>
      <c r="G91" s="223">
        <f t="shared" si="29"/>
        <v>0</v>
      </c>
      <c r="H91" s="223">
        <f t="shared" si="29"/>
        <v>330</v>
      </c>
      <c r="I91" s="223">
        <f t="shared" si="29"/>
        <v>800</v>
      </c>
      <c r="J91" s="223">
        <f t="shared" si="29"/>
        <v>1150</v>
      </c>
      <c r="K91" s="223">
        <f t="shared" si="29"/>
        <v>6189</v>
      </c>
      <c r="L91" s="223">
        <f t="shared" si="29"/>
        <v>460</v>
      </c>
      <c r="M91" s="274">
        <f t="shared" si="29"/>
        <v>0</v>
      </c>
      <c r="N91" s="223">
        <f t="shared" si="29"/>
        <v>0</v>
      </c>
      <c r="O91" s="220">
        <f t="shared" si="20"/>
        <v>8929</v>
      </c>
      <c r="P91" s="327">
        <f t="shared" si="29"/>
        <v>0</v>
      </c>
      <c r="Q91" s="223">
        <f t="shared" si="29"/>
        <v>0</v>
      </c>
      <c r="R91" s="223">
        <f t="shared" si="29"/>
        <v>0</v>
      </c>
      <c r="S91" s="223">
        <f t="shared" si="29"/>
        <v>0</v>
      </c>
      <c r="T91" s="223">
        <f t="shared" si="29"/>
        <v>0</v>
      </c>
      <c r="U91" s="223">
        <f t="shared" si="29"/>
        <v>0</v>
      </c>
      <c r="V91" s="223">
        <f t="shared" si="29"/>
        <v>0</v>
      </c>
      <c r="W91" s="223">
        <f t="shared" si="29"/>
        <v>0</v>
      </c>
      <c r="X91" s="223">
        <f t="shared" si="29"/>
        <v>0</v>
      </c>
      <c r="Y91" s="223">
        <f t="shared" si="29"/>
        <v>0</v>
      </c>
      <c r="Z91" s="223">
        <f t="shared" si="29"/>
        <v>0</v>
      </c>
      <c r="AA91" s="223">
        <f t="shared" si="29"/>
        <v>0</v>
      </c>
      <c r="AB91" s="223">
        <f t="shared" si="29"/>
        <v>0</v>
      </c>
      <c r="AC91" s="223">
        <f t="shared" si="29"/>
        <v>0</v>
      </c>
      <c r="AD91" s="223">
        <f t="shared" si="29"/>
        <v>0</v>
      </c>
      <c r="AE91" s="223">
        <f t="shared" si="29"/>
        <v>0</v>
      </c>
      <c r="AF91" s="223">
        <f t="shared" si="29"/>
        <v>0</v>
      </c>
      <c r="AG91" s="223">
        <f t="shared" si="29"/>
        <v>0</v>
      </c>
      <c r="AH91" s="223">
        <f t="shared" si="29"/>
        <v>0</v>
      </c>
      <c r="AI91" s="223">
        <f t="shared" si="29"/>
        <v>0</v>
      </c>
      <c r="AJ91" s="223">
        <f t="shared" si="29"/>
        <v>0</v>
      </c>
      <c r="AK91" s="223">
        <f t="shared" si="29"/>
        <v>0</v>
      </c>
      <c r="AL91" s="223">
        <f t="shared" si="29"/>
        <v>0</v>
      </c>
      <c r="AM91" s="223">
        <f t="shared" si="29"/>
        <v>0</v>
      </c>
      <c r="AN91" s="223">
        <f t="shared" si="29"/>
        <v>0</v>
      </c>
      <c r="AO91" s="223">
        <f t="shared" si="29"/>
        <v>0</v>
      </c>
      <c r="AP91" s="223">
        <f t="shared" si="29"/>
        <v>0</v>
      </c>
      <c r="AQ91" s="223">
        <f t="shared" si="29"/>
        <v>0</v>
      </c>
      <c r="AR91" s="223">
        <f t="shared" si="29"/>
        <v>0</v>
      </c>
      <c r="AS91" s="223">
        <f t="shared" si="29"/>
        <v>0</v>
      </c>
      <c r="AT91" s="223">
        <f t="shared" si="29"/>
        <v>0</v>
      </c>
      <c r="AU91" s="223">
        <f t="shared" si="29"/>
        <v>0</v>
      </c>
      <c r="AV91" s="223">
        <f t="shared" si="29"/>
        <v>0</v>
      </c>
      <c r="AW91" s="223">
        <f t="shared" si="29"/>
        <v>0</v>
      </c>
      <c r="AX91" s="223">
        <f t="shared" si="29"/>
        <v>0</v>
      </c>
      <c r="AY91" s="317">
        <f t="shared" si="21"/>
        <v>0</v>
      </c>
      <c r="AZ91" s="15">
        <f t="shared" si="22"/>
        <v>8929</v>
      </c>
    </row>
    <row r="92" spans="1:52" ht="24.75" customHeight="1">
      <c r="A92" s="54">
        <v>88</v>
      </c>
      <c r="B92" s="210" t="s">
        <v>558</v>
      </c>
      <c r="C92" s="211" t="s">
        <v>559</v>
      </c>
      <c r="D92" s="274">
        <v>345</v>
      </c>
      <c r="E92" s="223"/>
      <c r="F92" s="223"/>
      <c r="G92" s="223"/>
      <c r="H92" s="223"/>
      <c r="I92" s="223"/>
      <c r="J92" s="223"/>
      <c r="K92" s="223"/>
      <c r="L92" s="223"/>
      <c r="M92" s="274"/>
      <c r="N92" s="223"/>
      <c r="O92" s="220">
        <f t="shared" si="20"/>
        <v>345</v>
      </c>
      <c r="P92" s="327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223"/>
      <c r="AK92" s="223"/>
      <c r="AL92" s="223"/>
      <c r="AM92" s="223"/>
      <c r="AN92" s="223"/>
      <c r="AO92" s="223"/>
      <c r="AP92" s="223"/>
      <c r="AQ92" s="223"/>
      <c r="AR92" s="223"/>
      <c r="AS92" s="223"/>
      <c r="AT92" s="223"/>
      <c r="AU92" s="223"/>
      <c r="AV92" s="223"/>
      <c r="AW92" s="223"/>
      <c r="AX92" s="223"/>
      <c r="AY92" s="317">
        <f t="shared" si="21"/>
        <v>0</v>
      </c>
      <c r="AZ92" s="15">
        <f t="shared" si="22"/>
        <v>345</v>
      </c>
    </row>
    <row r="93" spans="1:52" ht="24.75" customHeight="1">
      <c r="A93" s="54">
        <v>89</v>
      </c>
      <c r="B93" s="210" t="s">
        <v>560</v>
      </c>
      <c r="C93" s="211" t="s">
        <v>561</v>
      </c>
      <c r="D93" s="274"/>
      <c r="E93" s="223"/>
      <c r="F93" s="223"/>
      <c r="G93" s="223"/>
      <c r="H93" s="223"/>
      <c r="I93" s="223"/>
      <c r="J93" s="223"/>
      <c r="K93" s="223"/>
      <c r="L93" s="223"/>
      <c r="M93" s="274"/>
      <c r="N93" s="223"/>
      <c r="O93" s="220">
        <f t="shared" si="20"/>
        <v>0</v>
      </c>
      <c r="P93" s="327"/>
      <c r="Q93" s="223"/>
      <c r="R93" s="223"/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  <c r="AE93" s="223"/>
      <c r="AF93" s="223"/>
      <c r="AG93" s="223"/>
      <c r="AH93" s="223"/>
      <c r="AI93" s="223"/>
      <c r="AJ93" s="223"/>
      <c r="AK93" s="223"/>
      <c r="AL93" s="223"/>
      <c r="AM93" s="223"/>
      <c r="AN93" s="223"/>
      <c r="AO93" s="223"/>
      <c r="AP93" s="223"/>
      <c r="AQ93" s="223"/>
      <c r="AR93" s="223"/>
      <c r="AS93" s="223"/>
      <c r="AT93" s="223"/>
      <c r="AU93" s="223"/>
      <c r="AV93" s="223"/>
      <c r="AW93" s="223"/>
      <c r="AX93" s="223"/>
      <c r="AY93" s="317">
        <f t="shared" si="21"/>
        <v>0</v>
      </c>
      <c r="AZ93" s="15">
        <f t="shared" si="22"/>
        <v>0</v>
      </c>
    </row>
    <row r="94" spans="1:52" ht="24.75" customHeight="1">
      <c r="A94" s="54">
        <v>90</v>
      </c>
      <c r="B94" s="210" t="s">
        <v>562</v>
      </c>
      <c r="C94" s="211" t="s">
        <v>563</v>
      </c>
      <c r="D94" s="274"/>
      <c r="E94" s="223"/>
      <c r="F94" s="223"/>
      <c r="G94" s="223"/>
      <c r="H94" s="223"/>
      <c r="I94" s="223"/>
      <c r="J94" s="223"/>
      <c r="K94" s="223"/>
      <c r="L94" s="223"/>
      <c r="M94" s="274"/>
      <c r="N94" s="223">
        <v>4440</v>
      </c>
      <c r="O94" s="220">
        <f t="shared" si="20"/>
        <v>4440</v>
      </c>
      <c r="P94" s="327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3"/>
      <c r="AN94" s="223"/>
      <c r="AO94" s="223"/>
      <c r="AP94" s="223"/>
      <c r="AQ94" s="223"/>
      <c r="AR94" s="223"/>
      <c r="AS94" s="223"/>
      <c r="AT94" s="223"/>
      <c r="AU94" s="223"/>
      <c r="AV94" s="223"/>
      <c r="AW94" s="223"/>
      <c r="AX94" s="223"/>
      <c r="AY94" s="317">
        <f t="shared" si="21"/>
        <v>0</v>
      </c>
      <c r="AZ94" s="15">
        <f t="shared" si="22"/>
        <v>4440</v>
      </c>
    </row>
    <row r="95" spans="1:52" ht="24.75" customHeight="1">
      <c r="A95" s="54">
        <v>91</v>
      </c>
      <c r="B95" s="213"/>
      <c r="C95" s="215" t="s">
        <v>564</v>
      </c>
      <c r="D95" s="274">
        <f>SUM(D92:D94)</f>
        <v>345</v>
      </c>
      <c r="E95" s="223">
        <f aca="true" t="shared" si="30" ref="E95:AX95">SUM(E92:E94)</f>
        <v>0</v>
      </c>
      <c r="F95" s="223"/>
      <c r="G95" s="223">
        <f t="shared" si="30"/>
        <v>0</v>
      </c>
      <c r="H95" s="223">
        <f t="shared" si="30"/>
        <v>0</v>
      </c>
      <c r="I95" s="223">
        <f t="shared" si="30"/>
        <v>0</v>
      </c>
      <c r="J95" s="223">
        <f t="shared" si="30"/>
        <v>0</v>
      </c>
      <c r="K95" s="223">
        <f t="shared" si="30"/>
        <v>0</v>
      </c>
      <c r="L95" s="223">
        <f t="shared" si="30"/>
        <v>0</v>
      </c>
      <c r="M95" s="274">
        <f t="shared" si="30"/>
        <v>0</v>
      </c>
      <c r="N95" s="223">
        <f t="shared" si="30"/>
        <v>4440</v>
      </c>
      <c r="O95" s="220">
        <f t="shared" si="20"/>
        <v>4785</v>
      </c>
      <c r="P95" s="327">
        <f t="shared" si="30"/>
        <v>0</v>
      </c>
      <c r="Q95" s="223">
        <f t="shared" si="30"/>
        <v>0</v>
      </c>
      <c r="R95" s="223">
        <f t="shared" si="30"/>
        <v>0</v>
      </c>
      <c r="S95" s="223">
        <f t="shared" si="30"/>
        <v>0</v>
      </c>
      <c r="T95" s="223">
        <f t="shared" si="30"/>
        <v>0</v>
      </c>
      <c r="U95" s="223">
        <f t="shared" si="30"/>
        <v>0</v>
      </c>
      <c r="V95" s="223">
        <f t="shared" si="30"/>
        <v>0</v>
      </c>
      <c r="W95" s="223">
        <f t="shared" si="30"/>
        <v>0</v>
      </c>
      <c r="X95" s="223">
        <f t="shared" si="30"/>
        <v>0</v>
      </c>
      <c r="Y95" s="223">
        <f t="shared" si="30"/>
        <v>0</v>
      </c>
      <c r="Z95" s="223">
        <f t="shared" si="30"/>
        <v>0</v>
      </c>
      <c r="AA95" s="223">
        <f t="shared" si="30"/>
        <v>0</v>
      </c>
      <c r="AB95" s="223">
        <f t="shared" si="30"/>
        <v>0</v>
      </c>
      <c r="AC95" s="223">
        <f t="shared" si="30"/>
        <v>0</v>
      </c>
      <c r="AD95" s="223">
        <f t="shared" si="30"/>
        <v>0</v>
      </c>
      <c r="AE95" s="223">
        <f t="shared" si="30"/>
        <v>0</v>
      </c>
      <c r="AF95" s="223">
        <f t="shared" si="30"/>
        <v>0</v>
      </c>
      <c r="AG95" s="223">
        <f t="shared" si="30"/>
        <v>0</v>
      </c>
      <c r="AH95" s="223">
        <f t="shared" si="30"/>
        <v>0</v>
      </c>
      <c r="AI95" s="223">
        <f t="shared" si="30"/>
        <v>0</v>
      </c>
      <c r="AJ95" s="223">
        <f t="shared" si="30"/>
        <v>0</v>
      </c>
      <c r="AK95" s="223">
        <f t="shared" si="30"/>
        <v>0</v>
      </c>
      <c r="AL95" s="223">
        <f t="shared" si="30"/>
        <v>0</v>
      </c>
      <c r="AM95" s="223">
        <f t="shared" si="30"/>
        <v>0</v>
      </c>
      <c r="AN95" s="223">
        <f t="shared" si="30"/>
        <v>0</v>
      </c>
      <c r="AO95" s="223">
        <f t="shared" si="30"/>
        <v>0</v>
      </c>
      <c r="AP95" s="223">
        <f t="shared" si="30"/>
        <v>0</v>
      </c>
      <c r="AQ95" s="223">
        <f t="shared" si="30"/>
        <v>0</v>
      </c>
      <c r="AR95" s="223">
        <f t="shared" si="30"/>
        <v>0</v>
      </c>
      <c r="AS95" s="223">
        <f t="shared" si="30"/>
        <v>0</v>
      </c>
      <c r="AT95" s="223">
        <f t="shared" si="30"/>
        <v>0</v>
      </c>
      <c r="AU95" s="223">
        <f t="shared" si="30"/>
        <v>0</v>
      </c>
      <c r="AV95" s="223">
        <f t="shared" si="30"/>
        <v>0</v>
      </c>
      <c r="AW95" s="223">
        <f t="shared" si="30"/>
        <v>0</v>
      </c>
      <c r="AX95" s="223">
        <f t="shared" si="30"/>
        <v>0</v>
      </c>
      <c r="AY95" s="317">
        <f t="shared" si="21"/>
        <v>0</v>
      </c>
      <c r="AZ95" s="15">
        <f t="shared" si="22"/>
        <v>4785</v>
      </c>
    </row>
    <row r="96" spans="1:52" ht="24.75" customHeight="1">
      <c r="A96" s="55">
        <v>92</v>
      </c>
      <c r="B96" s="34" t="s">
        <v>490</v>
      </c>
      <c r="C96" s="179" t="s">
        <v>491</v>
      </c>
      <c r="D96" s="276">
        <v>24064</v>
      </c>
      <c r="E96" s="290"/>
      <c r="F96" s="290"/>
      <c r="G96" s="290"/>
      <c r="H96" s="290"/>
      <c r="I96" s="290"/>
      <c r="J96" s="134"/>
      <c r="K96" s="134"/>
      <c r="L96" s="134"/>
      <c r="M96" s="265"/>
      <c r="N96" s="134"/>
      <c r="O96" s="220">
        <f t="shared" si="20"/>
        <v>24064</v>
      </c>
      <c r="P96" s="317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317">
        <f t="shared" si="21"/>
        <v>0</v>
      </c>
      <c r="AZ96" s="15">
        <f t="shared" si="22"/>
        <v>24064</v>
      </c>
    </row>
    <row r="97" spans="1:52" ht="24.75" customHeight="1">
      <c r="A97" s="54">
        <v>93</v>
      </c>
      <c r="B97" s="34" t="s">
        <v>492</v>
      </c>
      <c r="C97" s="180" t="s">
        <v>493</v>
      </c>
      <c r="D97" s="276"/>
      <c r="E97" s="290"/>
      <c r="F97" s="290"/>
      <c r="G97" s="290"/>
      <c r="H97" s="290"/>
      <c r="I97" s="290"/>
      <c r="J97" s="134"/>
      <c r="K97" s="134"/>
      <c r="L97" s="134"/>
      <c r="M97" s="265"/>
      <c r="N97" s="134"/>
      <c r="O97" s="220">
        <f t="shared" si="20"/>
        <v>0</v>
      </c>
      <c r="P97" s="317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>
        <f>'[3]890301_084031'!$E$80</f>
        <v>150</v>
      </c>
      <c r="AR97" s="134"/>
      <c r="AS97" s="134"/>
      <c r="AT97" s="134"/>
      <c r="AU97" s="134"/>
      <c r="AV97" s="134"/>
      <c r="AW97" s="134"/>
      <c r="AX97" s="134"/>
      <c r="AY97" s="317">
        <f t="shared" si="21"/>
        <v>150</v>
      </c>
      <c r="AZ97" s="15">
        <f t="shared" si="22"/>
        <v>150</v>
      </c>
    </row>
    <row r="98" spans="1:52" ht="24.75" customHeight="1">
      <c r="A98" s="54">
        <v>94</v>
      </c>
      <c r="B98" s="34"/>
      <c r="C98" s="37" t="s">
        <v>494</v>
      </c>
      <c r="D98" s="276"/>
      <c r="E98" s="290"/>
      <c r="F98" s="290"/>
      <c r="G98" s="290"/>
      <c r="H98" s="290"/>
      <c r="I98" s="290"/>
      <c r="J98" s="134"/>
      <c r="K98" s="134"/>
      <c r="L98" s="134"/>
      <c r="M98" s="265"/>
      <c r="N98" s="134"/>
      <c r="O98" s="220">
        <f t="shared" si="20"/>
        <v>0</v>
      </c>
      <c r="P98" s="317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>
        <f>'[3]890301_084031'!$E$81</f>
        <v>900</v>
      </c>
      <c r="AR98" s="134"/>
      <c r="AS98" s="134"/>
      <c r="AT98" s="134"/>
      <c r="AU98" s="134"/>
      <c r="AV98" s="134"/>
      <c r="AW98" s="134"/>
      <c r="AX98" s="134"/>
      <c r="AY98" s="317">
        <f t="shared" si="21"/>
        <v>900</v>
      </c>
      <c r="AZ98" s="15">
        <f t="shared" si="22"/>
        <v>900</v>
      </c>
    </row>
    <row r="99" spans="1:52" ht="15">
      <c r="A99" s="54">
        <v>95</v>
      </c>
      <c r="B99" s="34"/>
      <c r="C99" s="37" t="s">
        <v>495</v>
      </c>
      <c r="D99" s="283"/>
      <c r="E99" s="134"/>
      <c r="F99" s="134"/>
      <c r="G99" s="134"/>
      <c r="H99" s="134"/>
      <c r="I99" s="134"/>
      <c r="J99" s="134"/>
      <c r="K99" s="134"/>
      <c r="L99" s="134"/>
      <c r="M99" s="265"/>
      <c r="N99" s="134">
        <v>139</v>
      </c>
      <c r="O99" s="220">
        <f t="shared" si="20"/>
        <v>139</v>
      </c>
      <c r="P99" s="317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>
        <f>'[3]890301_084031'!$E$82</f>
        <v>0</v>
      </c>
      <c r="AR99" s="134"/>
      <c r="AS99" s="134"/>
      <c r="AT99" s="134"/>
      <c r="AU99" s="134"/>
      <c r="AV99" s="134"/>
      <c r="AW99" s="134"/>
      <c r="AX99" s="134"/>
      <c r="AY99" s="317">
        <f t="shared" si="21"/>
        <v>0</v>
      </c>
      <c r="AZ99" s="15">
        <f t="shared" si="22"/>
        <v>139</v>
      </c>
    </row>
    <row r="100" spans="1:52" ht="15">
      <c r="A100" s="54">
        <v>96</v>
      </c>
      <c r="B100" s="34"/>
      <c r="C100" s="191" t="s">
        <v>496</v>
      </c>
      <c r="D100" s="283">
        <v>5355</v>
      </c>
      <c r="E100" s="134"/>
      <c r="F100" s="134"/>
      <c r="G100" s="134">
        <v>9901</v>
      </c>
      <c r="H100" s="134"/>
      <c r="I100" s="134"/>
      <c r="J100" s="134"/>
      <c r="K100" s="134"/>
      <c r="L100" s="134"/>
      <c r="M100" s="265"/>
      <c r="N100" s="134"/>
      <c r="O100" s="220">
        <f t="shared" si="20"/>
        <v>15256</v>
      </c>
      <c r="P100" s="317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>
        <v>3814</v>
      </c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>
        <f>'[3]890301_084031'!$E$83</f>
        <v>50</v>
      </c>
      <c r="AR100" s="134"/>
      <c r="AS100" s="134"/>
      <c r="AT100" s="134"/>
      <c r="AU100" s="134"/>
      <c r="AV100" s="134"/>
      <c r="AW100" s="134"/>
      <c r="AX100" s="134"/>
      <c r="AY100" s="317">
        <f t="shared" si="21"/>
        <v>3864</v>
      </c>
      <c r="AZ100" s="15">
        <f t="shared" si="22"/>
        <v>19120</v>
      </c>
    </row>
    <row r="101" spans="1:52" ht="25.5">
      <c r="A101" s="55">
        <v>97</v>
      </c>
      <c r="B101" s="188" t="s">
        <v>497</v>
      </c>
      <c r="C101" s="183" t="s">
        <v>498</v>
      </c>
      <c r="D101" s="267">
        <f>SUM(D97:D100)</f>
        <v>5355</v>
      </c>
      <c r="E101" s="202">
        <f aca="true" t="shared" si="31" ref="E101:AX101">SUM(E97:E100)</f>
        <v>0</v>
      </c>
      <c r="F101" s="202"/>
      <c r="G101" s="202">
        <f t="shared" si="31"/>
        <v>9901</v>
      </c>
      <c r="H101" s="202">
        <f t="shared" si="31"/>
        <v>0</v>
      </c>
      <c r="I101" s="202">
        <f t="shared" si="31"/>
        <v>0</v>
      </c>
      <c r="J101" s="202">
        <f t="shared" si="31"/>
        <v>0</v>
      </c>
      <c r="K101" s="202">
        <f t="shared" si="31"/>
        <v>0</v>
      </c>
      <c r="L101" s="202">
        <f t="shared" si="31"/>
        <v>0</v>
      </c>
      <c r="M101" s="267">
        <f t="shared" si="31"/>
        <v>0</v>
      </c>
      <c r="N101" s="202">
        <f t="shared" si="31"/>
        <v>139</v>
      </c>
      <c r="O101" s="220">
        <f t="shared" si="20"/>
        <v>15395</v>
      </c>
      <c r="P101" s="319">
        <f t="shared" si="31"/>
        <v>0</v>
      </c>
      <c r="Q101" s="202">
        <f t="shared" si="31"/>
        <v>0</v>
      </c>
      <c r="R101" s="202">
        <f t="shared" si="31"/>
        <v>0</v>
      </c>
      <c r="S101" s="202">
        <f t="shared" si="31"/>
        <v>0</v>
      </c>
      <c r="T101" s="202">
        <f t="shared" si="31"/>
        <v>0</v>
      </c>
      <c r="U101" s="202">
        <f t="shared" si="31"/>
        <v>0</v>
      </c>
      <c r="V101" s="202">
        <f t="shared" si="31"/>
        <v>0</v>
      </c>
      <c r="W101" s="202">
        <f t="shared" si="31"/>
        <v>0</v>
      </c>
      <c r="X101" s="202">
        <f t="shared" si="31"/>
        <v>0</v>
      </c>
      <c r="Y101" s="202">
        <f t="shared" si="31"/>
        <v>0</v>
      </c>
      <c r="Z101" s="202">
        <f t="shared" si="31"/>
        <v>0</v>
      </c>
      <c r="AA101" s="202">
        <f t="shared" si="31"/>
        <v>3814</v>
      </c>
      <c r="AB101" s="202">
        <f t="shared" si="31"/>
        <v>0</v>
      </c>
      <c r="AC101" s="202">
        <f t="shared" si="31"/>
        <v>0</v>
      </c>
      <c r="AD101" s="202">
        <f t="shared" si="31"/>
        <v>0</v>
      </c>
      <c r="AE101" s="202">
        <f t="shared" si="31"/>
        <v>0</v>
      </c>
      <c r="AF101" s="202">
        <f t="shared" si="31"/>
        <v>0</v>
      </c>
      <c r="AG101" s="202">
        <f t="shared" si="31"/>
        <v>0</v>
      </c>
      <c r="AH101" s="202">
        <f t="shared" si="31"/>
        <v>0</v>
      </c>
      <c r="AI101" s="202">
        <f t="shared" si="31"/>
        <v>0</v>
      </c>
      <c r="AJ101" s="202">
        <f t="shared" si="31"/>
        <v>0</v>
      </c>
      <c r="AK101" s="202">
        <f t="shared" si="31"/>
        <v>0</v>
      </c>
      <c r="AL101" s="202">
        <f t="shared" si="31"/>
        <v>0</v>
      </c>
      <c r="AM101" s="202">
        <f t="shared" si="31"/>
        <v>0</v>
      </c>
      <c r="AN101" s="202">
        <f t="shared" si="31"/>
        <v>0</v>
      </c>
      <c r="AO101" s="202">
        <f t="shared" si="31"/>
        <v>0</v>
      </c>
      <c r="AP101" s="202">
        <f t="shared" si="31"/>
        <v>0</v>
      </c>
      <c r="AQ101" s="202">
        <f t="shared" si="31"/>
        <v>1100</v>
      </c>
      <c r="AR101" s="202">
        <f t="shared" si="31"/>
        <v>0</v>
      </c>
      <c r="AS101" s="202">
        <f t="shared" si="31"/>
        <v>0</v>
      </c>
      <c r="AT101" s="202">
        <f t="shared" si="31"/>
        <v>0</v>
      </c>
      <c r="AU101" s="202">
        <f t="shared" si="31"/>
        <v>0</v>
      </c>
      <c r="AV101" s="202">
        <f t="shared" si="31"/>
        <v>0</v>
      </c>
      <c r="AW101" s="202">
        <f t="shared" si="31"/>
        <v>0</v>
      </c>
      <c r="AX101" s="202">
        <f t="shared" si="31"/>
        <v>0</v>
      </c>
      <c r="AY101" s="317">
        <f t="shared" si="21"/>
        <v>4914</v>
      </c>
      <c r="AZ101" s="15">
        <f t="shared" si="22"/>
        <v>20309</v>
      </c>
    </row>
    <row r="102" spans="1:52" s="192" customFormat="1" ht="18.75">
      <c r="A102" s="54">
        <v>98</v>
      </c>
      <c r="B102" s="189" t="s">
        <v>499</v>
      </c>
      <c r="C102" s="189" t="s">
        <v>500</v>
      </c>
      <c r="D102" s="271">
        <f>SUM(D96+D101)</f>
        <v>29419</v>
      </c>
      <c r="E102" s="205">
        <f aca="true" t="shared" si="32" ref="E102:AX102">SUM(E96+E101)</f>
        <v>0</v>
      </c>
      <c r="F102" s="205"/>
      <c r="G102" s="205">
        <f t="shared" si="32"/>
        <v>9901</v>
      </c>
      <c r="H102" s="205">
        <f t="shared" si="32"/>
        <v>0</v>
      </c>
      <c r="I102" s="205">
        <f t="shared" si="32"/>
        <v>0</v>
      </c>
      <c r="J102" s="205">
        <f t="shared" si="32"/>
        <v>0</v>
      </c>
      <c r="K102" s="205">
        <f t="shared" si="32"/>
        <v>0</v>
      </c>
      <c r="L102" s="205">
        <f t="shared" si="32"/>
        <v>0</v>
      </c>
      <c r="M102" s="271">
        <f t="shared" si="32"/>
        <v>0</v>
      </c>
      <c r="N102" s="205">
        <f t="shared" si="32"/>
        <v>139</v>
      </c>
      <c r="O102" s="220">
        <f t="shared" si="20"/>
        <v>39459</v>
      </c>
      <c r="P102" s="324">
        <f t="shared" si="32"/>
        <v>0</v>
      </c>
      <c r="Q102" s="205">
        <f t="shared" si="32"/>
        <v>0</v>
      </c>
      <c r="R102" s="205">
        <f t="shared" si="32"/>
        <v>0</v>
      </c>
      <c r="S102" s="205">
        <f t="shared" si="32"/>
        <v>0</v>
      </c>
      <c r="T102" s="205">
        <f t="shared" si="32"/>
        <v>0</v>
      </c>
      <c r="U102" s="205">
        <f t="shared" si="32"/>
        <v>0</v>
      </c>
      <c r="V102" s="205">
        <f t="shared" si="32"/>
        <v>0</v>
      </c>
      <c r="W102" s="205">
        <f t="shared" si="32"/>
        <v>0</v>
      </c>
      <c r="X102" s="205">
        <f t="shared" si="32"/>
        <v>0</v>
      </c>
      <c r="Y102" s="205">
        <f t="shared" si="32"/>
        <v>0</v>
      </c>
      <c r="Z102" s="205">
        <f t="shared" si="32"/>
        <v>0</v>
      </c>
      <c r="AA102" s="205">
        <f t="shared" si="32"/>
        <v>3814</v>
      </c>
      <c r="AB102" s="205">
        <f t="shared" si="32"/>
        <v>0</v>
      </c>
      <c r="AC102" s="205">
        <f t="shared" si="32"/>
        <v>0</v>
      </c>
      <c r="AD102" s="205">
        <f t="shared" si="32"/>
        <v>0</v>
      </c>
      <c r="AE102" s="205">
        <f t="shared" si="32"/>
        <v>0</v>
      </c>
      <c r="AF102" s="205">
        <f t="shared" si="32"/>
        <v>0</v>
      </c>
      <c r="AG102" s="205">
        <f t="shared" si="32"/>
        <v>0</v>
      </c>
      <c r="AH102" s="205">
        <f t="shared" si="32"/>
        <v>0</v>
      </c>
      <c r="AI102" s="205">
        <f t="shared" si="32"/>
        <v>0</v>
      </c>
      <c r="AJ102" s="205">
        <f t="shared" si="32"/>
        <v>0</v>
      </c>
      <c r="AK102" s="205">
        <f t="shared" si="32"/>
        <v>0</v>
      </c>
      <c r="AL102" s="205">
        <f t="shared" si="32"/>
        <v>0</v>
      </c>
      <c r="AM102" s="205">
        <f t="shared" si="32"/>
        <v>0</v>
      </c>
      <c r="AN102" s="205">
        <f t="shared" si="32"/>
        <v>0</v>
      </c>
      <c r="AO102" s="205">
        <f t="shared" si="32"/>
        <v>0</v>
      </c>
      <c r="AP102" s="205">
        <f t="shared" si="32"/>
        <v>0</v>
      </c>
      <c r="AQ102" s="205">
        <f t="shared" si="32"/>
        <v>1100</v>
      </c>
      <c r="AR102" s="205">
        <f t="shared" si="32"/>
        <v>0</v>
      </c>
      <c r="AS102" s="205">
        <f t="shared" si="32"/>
        <v>0</v>
      </c>
      <c r="AT102" s="205">
        <f t="shared" si="32"/>
        <v>0</v>
      </c>
      <c r="AU102" s="205">
        <f t="shared" si="32"/>
        <v>0</v>
      </c>
      <c r="AV102" s="205">
        <f t="shared" si="32"/>
        <v>0</v>
      </c>
      <c r="AW102" s="205">
        <f t="shared" si="32"/>
        <v>0</v>
      </c>
      <c r="AX102" s="205">
        <f t="shared" si="32"/>
        <v>0</v>
      </c>
      <c r="AY102" s="317">
        <f t="shared" si="21"/>
        <v>4914</v>
      </c>
      <c r="AZ102" s="15">
        <f t="shared" si="22"/>
        <v>44373</v>
      </c>
    </row>
    <row r="103" spans="1:52" s="192" customFormat="1" ht="18.75">
      <c r="A103" s="54">
        <v>99</v>
      </c>
      <c r="B103" s="189"/>
      <c r="C103" s="189" t="s">
        <v>566</v>
      </c>
      <c r="D103" s="277">
        <f>D22+D28+D77+D91+D95+D102</f>
        <v>47908</v>
      </c>
      <c r="E103" s="216">
        <f aca="true" t="shared" si="33" ref="E103:AX103">E22+E28+E77+E91+E95+E102</f>
        <v>300</v>
      </c>
      <c r="F103" s="216">
        <f t="shared" si="33"/>
        <v>80</v>
      </c>
      <c r="G103" s="216">
        <f t="shared" si="33"/>
        <v>13476</v>
      </c>
      <c r="H103" s="216">
        <f t="shared" si="33"/>
        <v>330</v>
      </c>
      <c r="I103" s="216">
        <f t="shared" si="33"/>
        <v>800</v>
      </c>
      <c r="J103" s="216">
        <f t="shared" si="33"/>
        <v>1150</v>
      </c>
      <c r="K103" s="216">
        <f t="shared" si="33"/>
        <v>6458</v>
      </c>
      <c r="L103" s="216">
        <f t="shared" si="33"/>
        <v>460</v>
      </c>
      <c r="M103" s="277">
        <f t="shared" si="33"/>
        <v>0</v>
      </c>
      <c r="N103" s="216">
        <f t="shared" si="33"/>
        <v>4579</v>
      </c>
      <c r="O103" s="220">
        <f t="shared" si="20"/>
        <v>75541</v>
      </c>
      <c r="P103" s="331">
        <f t="shared" si="33"/>
        <v>46105</v>
      </c>
      <c r="Q103" s="216">
        <f t="shared" si="33"/>
        <v>6034</v>
      </c>
      <c r="R103" s="216">
        <f t="shared" si="33"/>
        <v>22040</v>
      </c>
      <c r="S103" s="216">
        <f t="shared" si="33"/>
        <v>10376</v>
      </c>
      <c r="T103" s="216">
        <f t="shared" si="33"/>
        <v>4517</v>
      </c>
      <c r="U103" s="216">
        <f t="shared" si="33"/>
        <v>29924</v>
      </c>
      <c r="V103" s="216">
        <f t="shared" si="33"/>
        <v>3305</v>
      </c>
      <c r="W103" s="216">
        <f t="shared" si="33"/>
        <v>2652</v>
      </c>
      <c r="X103" s="216">
        <f t="shared" si="33"/>
        <v>254</v>
      </c>
      <c r="Y103" s="216">
        <f t="shared" si="33"/>
        <v>4826</v>
      </c>
      <c r="Z103" s="216">
        <f t="shared" si="33"/>
        <v>250</v>
      </c>
      <c r="AA103" s="216">
        <f t="shared" si="33"/>
        <v>3814</v>
      </c>
      <c r="AB103" s="216">
        <f t="shared" si="33"/>
        <v>7617</v>
      </c>
      <c r="AC103" s="216">
        <f t="shared" si="33"/>
        <v>30823</v>
      </c>
      <c r="AD103" s="216">
        <f t="shared" si="33"/>
        <v>40373</v>
      </c>
      <c r="AE103" s="216">
        <f t="shared" si="33"/>
        <v>17302</v>
      </c>
      <c r="AF103" s="216">
        <f t="shared" si="33"/>
        <v>24859</v>
      </c>
      <c r="AG103" s="216">
        <f t="shared" si="33"/>
        <v>1035</v>
      </c>
      <c r="AH103" s="216">
        <f t="shared" si="33"/>
        <v>8385</v>
      </c>
      <c r="AI103" s="216">
        <f t="shared" si="33"/>
        <v>10638</v>
      </c>
      <c r="AJ103" s="216">
        <f t="shared" si="33"/>
        <v>1673</v>
      </c>
      <c r="AK103" s="216">
        <f t="shared" si="33"/>
        <v>300</v>
      </c>
      <c r="AL103" s="216">
        <f t="shared" si="33"/>
        <v>1200</v>
      </c>
      <c r="AM103" s="216">
        <f t="shared" si="33"/>
        <v>4502</v>
      </c>
      <c r="AN103" s="216">
        <f t="shared" si="33"/>
        <v>1421</v>
      </c>
      <c r="AO103" s="216">
        <f t="shared" si="33"/>
        <v>372</v>
      </c>
      <c r="AP103" s="216">
        <f t="shared" si="33"/>
        <v>4529</v>
      </c>
      <c r="AQ103" s="216">
        <f t="shared" si="33"/>
        <v>1100</v>
      </c>
      <c r="AR103" s="216">
        <f t="shared" si="33"/>
        <v>10416</v>
      </c>
      <c r="AS103" s="216">
        <f t="shared" si="33"/>
        <v>3282</v>
      </c>
      <c r="AT103" s="216">
        <f t="shared" si="33"/>
        <v>1131</v>
      </c>
      <c r="AU103" s="216">
        <f t="shared" si="33"/>
        <v>12024</v>
      </c>
      <c r="AV103" s="216">
        <f t="shared" si="33"/>
        <v>715</v>
      </c>
      <c r="AW103" s="216">
        <f t="shared" si="33"/>
        <v>1435</v>
      </c>
      <c r="AX103" s="216">
        <f t="shared" si="33"/>
        <v>642</v>
      </c>
      <c r="AY103" s="317">
        <f t="shared" si="21"/>
        <v>273766</v>
      </c>
      <c r="AZ103" s="15">
        <f t="shared" si="22"/>
        <v>395412</v>
      </c>
    </row>
    <row r="104" spans="1:52" ht="18.75">
      <c r="A104" s="54">
        <v>100</v>
      </c>
      <c r="B104" s="37" t="s">
        <v>501</v>
      </c>
      <c r="C104" s="180" t="s">
        <v>502</v>
      </c>
      <c r="D104" s="287">
        <f>'[2]841112_011130'!$E$91</f>
        <v>0</v>
      </c>
      <c r="E104" s="291"/>
      <c r="F104" s="291"/>
      <c r="G104" s="134">
        <v>8010</v>
      </c>
      <c r="H104" s="134"/>
      <c r="I104" s="134"/>
      <c r="J104" s="134"/>
      <c r="K104" s="134"/>
      <c r="L104" s="134"/>
      <c r="M104" s="265"/>
      <c r="N104" s="134"/>
      <c r="O104" s="220">
        <f t="shared" si="20"/>
        <v>8010</v>
      </c>
      <c r="P104" s="317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317">
        <f t="shared" si="21"/>
        <v>0</v>
      </c>
      <c r="AZ104" s="15">
        <f t="shared" si="22"/>
        <v>8010</v>
      </c>
    </row>
    <row r="105" spans="1:52" s="193" customFormat="1" ht="15">
      <c r="A105" s="54">
        <v>101</v>
      </c>
      <c r="B105" s="37" t="s">
        <v>503</v>
      </c>
      <c r="C105" s="180" t="s">
        <v>504</v>
      </c>
      <c r="D105" s="287">
        <f>'[2]841112_011130'!$E$92</f>
        <v>0</v>
      </c>
      <c r="E105" s="139"/>
      <c r="F105" s="139">
        <v>1902</v>
      </c>
      <c r="G105" s="134">
        <v>3495</v>
      </c>
      <c r="H105" s="139"/>
      <c r="I105" s="139"/>
      <c r="J105" s="139"/>
      <c r="K105" s="139"/>
      <c r="L105" s="139"/>
      <c r="M105" s="278"/>
      <c r="N105" s="139"/>
      <c r="O105" s="220">
        <f t="shared" si="20"/>
        <v>5397</v>
      </c>
      <c r="P105" s="332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>
        <v>150</v>
      </c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317">
        <f t="shared" si="21"/>
        <v>150</v>
      </c>
      <c r="AZ105" s="15">
        <f t="shared" si="22"/>
        <v>5547</v>
      </c>
    </row>
    <row r="106" spans="1:52" ht="15">
      <c r="A106" s="55">
        <v>102</v>
      </c>
      <c r="B106" s="194" t="s">
        <v>505</v>
      </c>
      <c r="C106" s="180" t="s">
        <v>506</v>
      </c>
      <c r="D106" s="287">
        <f>'[2]841112_011130'!$E$93</f>
        <v>0</v>
      </c>
      <c r="E106" s="134"/>
      <c r="F106" s="134"/>
      <c r="G106" s="134"/>
      <c r="H106" s="134"/>
      <c r="I106" s="134"/>
      <c r="J106" s="134"/>
      <c r="K106" s="134"/>
      <c r="L106" s="134"/>
      <c r="M106" s="265"/>
      <c r="N106" s="134"/>
      <c r="O106" s="220">
        <f t="shared" si="20"/>
        <v>0</v>
      </c>
      <c r="P106" s="317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317">
        <f t="shared" si="21"/>
        <v>0</v>
      </c>
      <c r="AZ106" s="15">
        <f t="shared" si="22"/>
        <v>0</v>
      </c>
    </row>
    <row r="107" spans="1:52" ht="24" customHeight="1">
      <c r="A107" s="54">
        <v>103</v>
      </c>
      <c r="B107" s="194" t="s">
        <v>507</v>
      </c>
      <c r="C107" s="180" t="s">
        <v>508</v>
      </c>
      <c r="D107" s="287">
        <f>'[2]841112_011130'!$E$94</f>
        <v>0</v>
      </c>
      <c r="E107" s="291"/>
      <c r="F107" s="291"/>
      <c r="G107" s="134">
        <f>'[2]841403_066020'!$E$94</f>
        <v>2240</v>
      </c>
      <c r="H107" s="134"/>
      <c r="I107" s="134"/>
      <c r="J107" s="134"/>
      <c r="K107" s="134"/>
      <c r="L107" s="134"/>
      <c r="M107" s="265"/>
      <c r="N107" s="134"/>
      <c r="O107" s="220">
        <f t="shared" si="20"/>
        <v>2240</v>
      </c>
      <c r="P107" s="317"/>
      <c r="Q107" s="134"/>
      <c r="R107" s="134"/>
      <c r="S107" s="134"/>
      <c r="T107" s="134"/>
      <c r="U107" s="134">
        <f>'[3]562913_096020'!$E$89</f>
        <v>79</v>
      </c>
      <c r="V107" s="134"/>
      <c r="W107" s="134"/>
      <c r="X107" s="134"/>
      <c r="Y107" s="134"/>
      <c r="Z107" s="134"/>
      <c r="AA107" s="134"/>
      <c r="AB107" s="134"/>
      <c r="AC107" s="134"/>
      <c r="AD107" s="134">
        <f>'[3]841154_013350'!$E$89</f>
        <v>543</v>
      </c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317">
        <f t="shared" si="21"/>
        <v>622</v>
      </c>
      <c r="AZ107" s="15">
        <f t="shared" si="22"/>
        <v>2862</v>
      </c>
    </row>
    <row r="108" spans="1:52" ht="26.25" customHeight="1">
      <c r="A108" s="54">
        <v>104</v>
      </c>
      <c r="B108" s="194" t="s">
        <v>509</v>
      </c>
      <c r="C108" s="180" t="s">
        <v>510</v>
      </c>
      <c r="D108" s="287">
        <f>'[2]841112_011130'!$E$95</f>
        <v>0</v>
      </c>
      <c r="E108" s="134"/>
      <c r="F108" s="134"/>
      <c r="G108" s="134"/>
      <c r="H108" s="134"/>
      <c r="I108" s="134"/>
      <c r="J108" s="134"/>
      <c r="K108" s="134"/>
      <c r="L108" s="134"/>
      <c r="M108" s="265"/>
      <c r="N108" s="134"/>
      <c r="O108" s="220">
        <f t="shared" si="20"/>
        <v>0</v>
      </c>
      <c r="P108" s="317">
        <v>918</v>
      </c>
      <c r="Q108" s="134"/>
      <c r="R108" s="134">
        <v>4724</v>
      </c>
      <c r="S108" s="134"/>
      <c r="T108" s="134"/>
      <c r="U108" s="134">
        <f>'[3]562913_096020'!$E$90</f>
        <v>165</v>
      </c>
      <c r="V108" s="134"/>
      <c r="W108" s="134"/>
      <c r="X108" s="134">
        <v>1227</v>
      </c>
      <c r="Y108" s="134"/>
      <c r="Z108" s="134"/>
      <c r="AA108" s="134"/>
      <c r="AB108" s="134"/>
      <c r="AC108" s="134">
        <f>'[3]813000_066010'!$E$90</f>
        <v>372</v>
      </c>
      <c r="AD108" s="134">
        <f>'[3]841154_013350'!$E$90</f>
        <v>675</v>
      </c>
      <c r="AE108" s="134"/>
      <c r="AF108" s="134">
        <v>1807</v>
      </c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>
        <v>150</v>
      </c>
      <c r="AV108" s="134">
        <v>289</v>
      </c>
      <c r="AW108" s="134"/>
      <c r="AX108" s="134"/>
      <c r="AY108" s="317">
        <f t="shared" si="21"/>
        <v>9409</v>
      </c>
      <c r="AZ108" s="15">
        <f t="shared" si="22"/>
        <v>10327</v>
      </c>
    </row>
    <row r="109" spans="1:52" ht="26.25" customHeight="1">
      <c r="A109" s="54">
        <v>105</v>
      </c>
      <c r="B109" s="194"/>
      <c r="C109" s="180" t="s">
        <v>572</v>
      </c>
      <c r="D109" s="287"/>
      <c r="E109" s="134"/>
      <c r="F109" s="134"/>
      <c r="G109" s="134">
        <v>227</v>
      </c>
      <c r="H109" s="134"/>
      <c r="I109" s="134"/>
      <c r="J109" s="134"/>
      <c r="K109" s="134"/>
      <c r="L109" s="134"/>
      <c r="M109" s="265"/>
      <c r="N109" s="134"/>
      <c r="O109" s="220"/>
      <c r="P109" s="317">
        <f>'[3]851011_091110'!$E$91</f>
        <v>378</v>
      </c>
      <c r="Q109" s="134"/>
      <c r="R109" s="134"/>
      <c r="S109" s="134"/>
      <c r="T109" s="134"/>
      <c r="U109" s="134">
        <f>'[3]562913_096020'!$E$91</f>
        <v>150</v>
      </c>
      <c r="V109" s="134"/>
      <c r="W109" s="134"/>
      <c r="X109" s="134">
        <v>331</v>
      </c>
      <c r="Y109" s="134"/>
      <c r="Z109" s="134"/>
      <c r="AA109" s="134"/>
      <c r="AB109" s="134">
        <f>'[3]811000_013350'!$E$91</f>
        <v>48</v>
      </c>
      <c r="AC109" s="134"/>
      <c r="AD109" s="134"/>
      <c r="AE109" s="134"/>
      <c r="AF109" s="134">
        <v>160</v>
      </c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>
        <v>685</v>
      </c>
      <c r="AS109" s="134">
        <f>'[3]890444_041231'!$E$91</f>
        <v>291</v>
      </c>
      <c r="AT109" s="134"/>
      <c r="AU109" s="134"/>
      <c r="AV109" s="134"/>
      <c r="AW109" s="134"/>
      <c r="AX109" s="134"/>
      <c r="AY109" s="317">
        <f t="shared" si="21"/>
        <v>1665</v>
      </c>
      <c r="AZ109" s="15">
        <f t="shared" si="22"/>
        <v>2043</v>
      </c>
    </row>
    <row r="110" spans="1:52" ht="25.5" customHeight="1">
      <c r="A110" s="54">
        <v>106</v>
      </c>
      <c r="B110" s="194" t="s">
        <v>511</v>
      </c>
      <c r="C110" s="180" t="s">
        <v>512</v>
      </c>
      <c r="D110" s="287">
        <f>'[2]841112_011130'!$E$96</f>
        <v>0</v>
      </c>
      <c r="E110" s="134"/>
      <c r="F110" s="134">
        <v>514</v>
      </c>
      <c r="G110" s="134">
        <v>3467</v>
      </c>
      <c r="H110" s="134"/>
      <c r="I110" s="134"/>
      <c r="J110" s="134"/>
      <c r="K110" s="134"/>
      <c r="L110" s="134"/>
      <c r="M110" s="265"/>
      <c r="N110" s="134"/>
      <c r="O110" s="220">
        <f t="shared" si="20"/>
        <v>3981</v>
      </c>
      <c r="P110" s="317">
        <f>'[3]851011_091110'!$E$92</f>
        <v>346</v>
      </c>
      <c r="Q110" s="134"/>
      <c r="R110" s="134">
        <v>1276</v>
      </c>
      <c r="S110" s="134"/>
      <c r="T110" s="134"/>
      <c r="U110" s="134">
        <f>'[3]562913_096020'!$E$92</f>
        <v>107</v>
      </c>
      <c r="V110" s="134"/>
      <c r="W110" s="134"/>
      <c r="X110" s="134"/>
      <c r="Y110" s="134"/>
      <c r="Z110" s="134"/>
      <c r="AA110" s="134"/>
      <c r="AB110" s="134">
        <f>'[3]811000_013350'!$E$92</f>
        <v>12</v>
      </c>
      <c r="AC110" s="134">
        <f>'[3]813000_066010'!$E$92</f>
        <v>100</v>
      </c>
      <c r="AD110" s="134">
        <f>'[3]841154_013350'!$E$91</f>
        <v>373</v>
      </c>
      <c r="AE110" s="134"/>
      <c r="AF110" s="134">
        <v>528</v>
      </c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>
        <v>184</v>
      </c>
      <c r="AS110" s="134">
        <f>'[3]890444_041231'!$E$92</f>
        <v>79</v>
      </c>
      <c r="AT110" s="134"/>
      <c r="AU110" s="134">
        <v>41</v>
      </c>
      <c r="AV110" s="134">
        <v>78</v>
      </c>
      <c r="AW110" s="134"/>
      <c r="AX110" s="134"/>
      <c r="AY110" s="317">
        <f t="shared" si="21"/>
        <v>2778</v>
      </c>
      <c r="AZ110" s="15">
        <f t="shared" si="22"/>
        <v>7105</v>
      </c>
    </row>
    <row r="111" spans="1:52" ht="15">
      <c r="A111" s="55">
        <v>107</v>
      </c>
      <c r="B111" s="195" t="s">
        <v>513</v>
      </c>
      <c r="C111" s="190" t="s">
        <v>514</v>
      </c>
      <c r="D111" s="276">
        <f aca="true" t="shared" si="34" ref="D111:N111">SUM(D104:D110)</f>
        <v>0</v>
      </c>
      <c r="E111" s="214">
        <f t="shared" si="34"/>
        <v>0</v>
      </c>
      <c r="F111" s="214">
        <f t="shared" si="34"/>
        <v>2416</v>
      </c>
      <c r="G111" s="214">
        <f t="shared" si="34"/>
        <v>17439</v>
      </c>
      <c r="H111" s="214">
        <f t="shared" si="34"/>
        <v>0</v>
      </c>
      <c r="I111" s="214">
        <f t="shared" si="34"/>
        <v>0</v>
      </c>
      <c r="J111" s="214">
        <f t="shared" si="34"/>
        <v>0</v>
      </c>
      <c r="K111" s="214">
        <f t="shared" si="34"/>
        <v>0</v>
      </c>
      <c r="L111" s="214">
        <f t="shared" si="34"/>
        <v>0</v>
      </c>
      <c r="M111" s="276">
        <f t="shared" si="34"/>
        <v>0</v>
      </c>
      <c r="N111" s="214">
        <f t="shared" si="34"/>
        <v>0</v>
      </c>
      <c r="O111" s="220">
        <f t="shared" si="20"/>
        <v>19855</v>
      </c>
      <c r="P111" s="330">
        <f aca="true" t="shared" si="35" ref="P111:AX111">SUM(P104:P110)</f>
        <v>1642</v>
      </c>
      <c r="Q111" s="214">
        <f t="shared" si="35"/>
        <v>0</v>
      </c>
      <c r="R111" s="214">
        <f t="shared" si="35"/>
        <v>6000</v>
      </c>
      <c r="S111" s="214">
        <f t="shared" si="35"/>
        <v>0</v>
      </c>
      <c r="T111" s="214">
        <f t="shared" si="35"/>
        <v>0</v>
      </c>
      <c r="U111" s="214">
        <f t="shared" si="35"/>
        <v>501</v>
      </c>
      <c r="V111" s="214">
        <f t="shared" si="35"/>
        <v>0</v>
      </c>
      <c r="W111" s="214">
        <f t="shared" si="35"/>
        <v>0</v>
      </c>
      <c r="X111" s="214">
        <f t="shared" si="35"/>
        <v>1558</v>
      </c>
      <c r="Y111" s="214">
        <f t="shared" si="35"/>
        <v>0</v>
      </c>
      <c r="Z111" s="214">
        <f t="shared" si="35"/>
        <v>0</v>
      </c>
      <c r="AA111" s="214">
        <f t="shared" si="35"/>
        <v>0</v>
      </c>
      <c r="AB111" s="214">
        <f t="shared" si="35"/>
        <v>60</v>
      </c>
      <c r="AC111" s="214">
        <f t="shared" si="35"/>
        <v>472</v>
      </c>
      <c r="AD111" s="214">
        <f t="shared" si="35"/>
        <v>1591</v>
      </c>
      <c r="AE111" s="214">
        <f t="shared" si="35"/>
        <v>0</v>
      </c>
      <c r="AF111" s="214">
        <f>SUM(AF104:AF110)</f>
        <v>2645</v>
      </c>
      <c r="AG111" s="214">
        <f t="shared" si="35"/>
        <v>0</v>
      </c>
      <c r="AH111" s="214">
        <f t="shared" si="35"/>
        <v>0</v>
      </c>
      <c r="AI111" s="214">
        <f t="shared" si="35"/>
        <v>0</v>
      </c>
      <c r="AJ111" s="214">
        <f t="shared" si="35"/>
        <v>0</v>
      </c>
      <c r="AK111" s="214">
        <f t="shared" si="35"/>
        <v>0</v>
      </c>
      <c r="AL111" s="214">
        <f t="shared" si="35"/>
        <v>0</v>
      </c>
      <c r="AM111" s="214">
        <f t="shared" si="35"/>
        <v>0</v>
      </c>
      <c r="AN111" s="214">
        <f t="shared" si="35"/>
        <v>0</v>
      </c>
      <c r="AO111" s="214">
        <f t="shared" si="35"/>
        <v>0</v>
      </c>
      <c r="AP111" s="214">
        <f t="shared" si="35"/>
        <v>0</v>
      </c>
      <c r="AQ111" s="214">
        <f t="shared" si="35"/>
        <v>0</v>
      </c>
      <c r="AR111" s="214">
        <f t="shared" si="35"/>
        <v>869</v>
      </c>
      <c r="AS111" s="214">
        <f t="shared" si="35"/>
        <v>370</v>
      </c>
      <c r="AT111" s="214">
        <f t="shared" si="35"/>
        <v>0</v>
      </c>
      <c r="AU111" s="214">
        <f t="shared" si="35"/>
        <v>191</v>
      </c>
      <c r="AV111" s="214">
        <f t="shared" si="35"/>
        <v>367</v>
      </c>
      <c r="AW111" s="214">
        <f t="shared" si="35"/>
        <v>0</v>
      </c>
      <c r="AX111" s="214">
        <f t="shared" si="35"/>
        <v>0</v>
      </c>
      <c r="AY111" s="317">
        <f t="shared" si="21"/>
        <v>14624</v>
      </c>
      <c r="AZ111" s="15">
        <f t="shared" si="22"/>
        <v>36121</v>
      </c>
    </row>
    <row r="112" spans="1:52" ht="15">
      <c r="A112" s="54">
        <v>108</v>
      </c>
      <c r="B112" s="194" t="s">
        <v>515</v>
      </c>
      <c r="C112" s="180" t="s">
        <v>516</v>
      </c>
      <c r="D112" s="287"/>
      <c r="E112" s="134">
        <v>6827</v>
      </c>
      <c r="F112" s="134"/>
      <c r="G112" s="134">
        <v>31796</v>
      </c>
      <c r="H112" s="134"/>
      <c r="I112" s="134"/>
      <c r="J112" s="134"/>
      <c r="K112" s="134"/>
      <c r="L112" s="134"/>
      <c r="M112" s="265"/>
      <c r="N112" s="134"/>
      <c r="O112" s="220">
        <f t="shared" si="20"/>
        <v>38623</v>
      </c>
      <c r="P112" s="317">
        <v>1866</v>
      </c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>
        <f>'[3]813000_066010'!$E$94</f>
        <v>315</v>
      </c>
      <c r="AD112" s="134"/>
      <c r="AE112" s="134"/>
      <c r="AF112" s="134">
        <v>976</v>
      </c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>
        <f>'[3]960302_013320'!$E$93</f>
        <v>607</v>
      </c>
      <c r="AY112" s="317">
        <f t="shared" si="21"/>
        <v>1898</v>
      </c>
      <c r="AZ112" s="15">
        <f t="shared" si="22"/>
        <v>42387</v>
      </c>
    </row>
    <row r="113" spans="1:52" ht="15">
      <c r="A113" s="54">
        <v>109</v>
      </c>
      <c r="B113" s="194" t="s">
        <v>517</v>
      </c>
      <c r="C113" s="180" t="s">
        <v>518</v>
      </c>
      <c r="D113" s="287"/>
      <c r="E113" s="134">
        <v>0</v>
      </c>
      <c r="F113" s="134"/>
      <c r="G113" s="134"/>
      <c r="H113" s="134"/>
      <c r="I113" s="134"/>
      <c r="J113" s="134"/>
      <c r="K113" s="134"/>
      <c r="L113" s="134"/>
      <c r="M113" s="265"/>
      <c r="N113" s="134"/>
      <c r="O113" s="220">
        <f t="shared" si="20"/>
        <v>0</v>
      </c>
      <c r="P113" s="317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317">
        <f t="shared" si="21"/>
        <v>0</v>
      </c>
      <c r="AZ113" s="15">
        <f t="shared" si="22"/>
        <v>0</v>
      </c>
    </row>
    <row r="114" spans="1:52" ht="15">
      <c r="A114" s="54">
        <v>110</v>
      </c>
      <c r="B114" s="194" t="s">
        <v>519</v>
      </c>
      <c r="C114" s="180" t="s">
        <v>520</v>
      </c>
      <c r="D114" s="287"/>
      <c r="E114" s="134">
        <v>0</v>
      </c>
      <c r="F114" s="134"/>
      <c r="G114" s="134"/>
      <c r="H114" s="134"/>
      <c r="I114" s="134"/>
      <c r="J114" s="134"/>
      <c r="K114" s="134"/>
      <c r="L114" s="134"/>
      <c r="M114" s="265"/>
      <c r="N114" s="134"/>
      <c r="O114" s="220">
        <f t="shared" si="20"/>
        <v>0</v>
      </c>
      <c r="P114" s="317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317">
        <f t="shared" si="21"/>
        <v>0</v>
      </c>
      <c r="AZ114" s="15">
        <f t="shared" si="22"/>
        <v>0</v>
      </c>
    </row>
    <row r="115" spans="1:52" ht="24" customHeight="1">
      <c r="A115" s="54">
        <v>111</v>
      </c>
      <c r="B115" s="194" t="s">
        <v>521</v>
      </c>
      <c r="C115" s="180" t="s">
        <v>522</v>
      </c>
      <c r="D115" s="287"/>
      <c r="E115" s="134">
        <v>1842</v>
      </c>
      <c r="F115" s="134"/>
      <c r="G115" s="134">
        <v>8584</v>
      </c>
      <c r="H115" s="134"/>
      <c r="I115" s="134"/>
      <c r="J115" s="134"/>
      <c r="K115" s="134"/>
      <c r="L115" s="134"/>
      <c r="M115" s="265"/>
      <c r="N115" s="134"/>
      <c r="O115" s="220">
        <f t="shared" si="20"/>
        <v>10426</v>
      </c>
      <c r="P115" s="317">
        <v>504</v>
      </c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>
        <f>'[3]813000_066010'!$E$97</f>
        <v>85</v>
      </c>
      <c r="AD115" s="134"/>
      <c r="AE115" s="134"/>
      <c r="AF115" s="134">
        <v>283</v>
      </c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>
        <f>'[3]960302_013320'!$E$96</f>
        <v>164</v>
      </c>
      <c r="AY115" s="317">
        <f t="shared" si="21"/>
        <v>532</v>
      </c>
      <c r="AZ115" s="15">
        <f t="shared" si="22"/>
        <v>11462</v>
      </c>
    </row>
    <row r="116" spans="1:52" ht="15">
      <c r="A116" s="55">
        <v>112</v>
      </c>
      <c r="B116" s="195" t="s">
        <v>523</v>
      </c>
      <c r="C116" s="190" t="s">
        <v>524</v>
      </c>
      <c r="D116" s="276">
        <f>SUM(D112:D115)</f>
        <v>0</v>
      </c>
      <c r="E116" s="214">
        <f aca="true" t="shared" si="36" ref="E116:AX116">SUM(E112:E115)</f>
        <v>8669</v>
      </c>
      <c r="F116" s="214">
        <f t="shared" si="36"/>
        <v>0</v>
      </c>
      <c r="G116" s="214">
        <f t="shared" si="36"/>
        <v>40380</v>
      </c>
      <c r="H116" s="214">
        <f t="shared" si="36"/>
        <v>0</v>
      </c>
      <c r="I116" s="214">
        <f t="shared" si="36"/>
        <v>0</v>
      </c>
      <c r="J116" s="214">
        <f t="shared" si="36"/>
        <v>0</v>
      </c>
      <c r="K116" s="214">
        <f t="shared" si="36"/>
        <v>0</v>
      </c>
      <c r="L116" s="214">
        <f t="shared" si="36"/>
        <v>0</v>
      </c>
      <c r="M116" s="276">
        <f t="shared" si="36"/>
        <v>0</v>
      </c>
      <c r="N116" s="214">
        <f t="shared" si="36"/>
        <v>0</v>
      </c>
      <c r="O116" s="220">
        <f t="shared" si="20"/>
        <v>49049</v>
      </c>
      <c r="P116" s="330">
        <f t="shared" si="36"/>
        <v>2370</v>
      </c>
      <c r="Q116" s="214">
        <f t="shared" si="36"/>
        <v>0</v>
      </c>
      <c r="R116" s="214">
        <f t="shared" si="36"/>
        <v>0</v>
      </c>
      <c r="S116" s="214">
        <f t="shared" si="36"/>
        <v>0</v>
      </c>
      <c r="T116" s="214">
        <f t="shared" si="36"/>
        <v>0</v>
      </c>
      <c r="U116" s="214">
        <f t="shared" si="36"/>
        <v>0</v>
      </c>
      <c r="V116" s="214">
        <f t="shared" si="36"/>
        <v>0</v>
      </c>
      <c r="W116" s="214">
        <f t="shared" si="36"/>
        <v>0</v>
      </c>
      <c r="X116" s="214">
        <f t="shared" si="36"/>
        <v>0</v>
      </c>
      <c r="Y116" s="214">
        <f t="shared" si="36"/>
        <v>0</v>
      </c>
      <c r="Z116" s="214">
        <f t="shared" si="36"/>
        <v>0</v>
      </c>
      <c r="AA116" s="214">
        <f t="shared" si="36"/>
        <v>0</v>
      </c>
      <c r="AB116" s="214">
        <f t="shared" si="36"/>
        <v>0</v>
      </c>
      <c r="AC116" s="214">
        <f t="shared" si="36"/>
        <v>400</v>
      </c>
      <c r="AD116" s="214">
        <f t="shared" si="36"/>
        <v>0</v>
      </c>
      <c r="AE116" s="214">
        <f t="shared" si="36"/>
        <v>0</v>
      </c>
      <c r="AF116" s="214">
        <f t="shared" si="36"/>
        <v>1259</v>
      </c>
      <c r="AG116" s="214">
        <f t="shared" si="36"/>
        <v>0</v>
      </c>
      <c r="AH116" s="214">
        <f t="shared" si="36"/>
        <v>0</v>
      </c>
      <c r="AI116" s="214">
        <f t="shared" si="36"/>
        <v>0</v>
      </c>
      <c r="AJ116" s="214">
        <f t="shared" si="36"/>
        <v>0</v>
      </c>
      <c r="AK116" s="214">
        <f t="shared" si="36"/>
        <v>0</v>
      </c>
      <c r="AL116" s="214">
        <f t="shared" si="36"/>
        <v>0</v>
      </c>
      <c r="AM116" s="214">
        <f t="shared" si="36"/>
        <v>0</v>
      </c>
      <c r="AN116" s="214">
        <f t="shared" si="36"/>
        <v>0</v>
      </c>
      <c r="AO116" s="214">
        <f t="shared" si="36"/>
        <v>0</v>
      </c>
      <c r="AP116" s="214">
        <f t="shared" si="36"/>
        <v>0</v>
      </c>
      <c r="AQ116" s="214">
        <f t="shared" si="36"/>
        <v>0</v>
      </c>
      <c r="AR116" s="214">
        <f t="shared" si="36"/>
        <v>0</v>
      </c>
      <c r="AS116" s="214">
        <f t="shared" si="36"/>
        <v>0</v>
      </c>
      <c r="AT116" s="214">
        <f t="shared" si="36"/>
        <v>0</v>
      </c>
      <c r="AU116" s="214">
        <f t="shared" si="36"/>
        <v>0</v>
      </c>
      <c r="AV116" s="214">
        <f t="shared" si="36"/>
        <v>0</v>
      </c>
      <c r="AW116" s="214">
        <f t="shared" si="36"/>
        <v>0</v>
      </c>
      <c r="AX116" s="214">
        <f t="shared" si="36"/>
        <v>771</v>
      </c>
      <c r="AY116" s="317">
        <f t="shared" si="21"/>
        <v>2430</v>
      </c>
      <c r="AZ116" s="15">
        <f t="shared" si="22"/>
        <v>53849</v>
      </c>
    </row>
    <row r="117" spans="1:52" ht="25.5" customHeight="1">
      <c r="A117" s="54">
        <v>113</v>
      </c>
      <c r="B117" s="194" t="s">
        <v>525</v>
      </c>
      <c r="C117" s="196" t="s">
        <v>526</v>
      </c>
      <c r="D117" s="288"/>
      <c r="E117" s="134"/>
      <c r="F117" s="134"/>
      <c r="G117" s="134"/>
      <c r="H117" s="134"/>
      <c r="I117" s="134">
        <f>'[2]882113_106020'!$E$110</f>
        <v>2000</v>
      </c>
      <c r="J117" s="134"/>
      <c r="K117" s="134"/>
      <c r="L117" s="134"/>
      <c r="M117" s="265"/>
      <c r="N117" s="134"/>
      <c r="O117" s="220">
        <f t="shared" si="20"/>
        <v>2000</v>
      </c>
      <c r="P117" s="317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317">
        <f t="shared" si="21"/>
        <v>0</v>
      </c>
      <c r="AZ117" s="15">
        <f t="shared" si="22"/>
        <v>2000</v>
      </c>
    </row>
    <row r="118" spans="1:52" ht="27" customHeight="1">
      <c r="A118" s="54">
        <v>114</v>
      </c>
      <c r="B118" s="197" t="s">
        <v>527</v>
      </c>
      <c r="C118" s="180" t="s">
        <v>528</v>
      </c>
      <c r="D118" s="287"/>
      <c r="E118" s="134"/>
      <c r="F118" s="134"/>
      <c r="G118" s="134"/>
      <c r="H118" s="134"/>
      <c r="I118" s="134"/>
      <c r="J118" s="134"/>
      <c r="K118" s="134"/>
      <c r="L118" s="134"/>
      <c r="M118" s="265"/>
      <c r="N118" s="134"/>
      <c r="O118" s="220">
        <f t="shared" si="20"/>
        <v>0</v>
      </c>
      <c r="P118" s="317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>
        <f>'[3]841403_066020'!$E$99</f>
        <v>2500</v>
      </c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317">
        <f t="shared" si="21"/>
        <v>2500</v>
      </c>
      <c r="AZ118" s="15">
        <f t="shared" si="22"/>
        <v>2500</v>
      </c>
    </row>
    <row r="119" spans="1:52" ht="15">
      <c r="A119" s="54">
        <v>115</v>
      </c>
      <c r="B119" s="195" t="s">
        <v>529</v>
      </c>
      <c r="C119" s="198" t="s">
        <v>530</v>
      </c>
      <c r="D119" s="279">
        <f>SUM(D117:D118)</f>
        <v>0</v>
      </c>
      <c r="E119" s="207">
        <f aca="true" t="shared" si="37" ref="E119:AX119">SUM(E117:E118)</f>
        <v>0</v>
      </c>
      <c r="F119" s="207">
        <f t="shared" si="37"/>
        <v>0</v>
      </c>
      <c r="G119" s="207">
        <f t="shared" si="37"/>
        <v>0</v>
      </c>
      <c r="H119" s="207">
        <f t="shared" si="37"/>
        <v>0</v>
      </c>
      <c r="I119" s="207">
        <f t="shared" si="37"/>
        <v>2000</v>
      </c>
      <c r="J119" s="207">
        <f t="shared" si="37"/>
        <v>0</v>
      </c>
      <c r="K119" s="207">
        <f t="shared" si="37"/>
        <v>0</v>
      </c>
      <c r="L119" s="207">
        <f t="shared" si="37"/>
        <v>0</v>
      </c>
      <c r="M119" s="279">
        <f t="shared" si="37"/>
        <v>0</v>
      </c>
      <c r="N119" s="207">
        <f t="shared" si="37"/>
        <v>0</v>
      </c>
      <c r="O119" s="220">
        <f t="shared" si="20"/>
        <v>2000</v>
      </c>
      <c r="P119" s="333">
        <f t="shared" si="37"/>
        <v>0</v>
      </c>
      <c r="Q119" s="207">
        <f t="shared" si="37"/>
        <v>0</v>
      </c>
      <c r="R119" s="207">
        <f t="shared" si="37"/>
        <v>0</v>
      </c>
      <c r="S119" s="207">
        <f t="shared" si="37"/>
        <v>0</v>
      </c>
      <c r="T119" s="207">
        <f t="shared" si="37"/>
        <v>0</v>
      </c>
      <c r="U119" s="207">
        <f t="shared" si="37"/>
        <v>0</v>
      </c>
      <c r="V119" s="207">
        <f t="shared" si="37"/>
        <v>0</v>
      </c>
      <c r="W119" s="207">
        <f t="shared" si="37"/>
        <v>0</v>
      </c>
      <c r="X119" s="207">
        <f t="shared" si="37"/>
        <v>0</v>
      </c>
      <c r="Y119" s="207">
        <f t="shared" si="37"/>
        <v>0</v>
      </c>
      <c r="Z119" s="207">
        <f t="shared" si="37"/>
        <v>0</v>
      </c>
      <c r="AA119" s="207">
        <f t="shared" si="37"/>
        <v>0</v>
      </c>
      <c r="AB119" s="207">
        <f t="shared" si="37"/>
        <v>0</v>
      </c>
      <c r="AC119" s="207">
        <f t="shared" si="37"/>
        <v>0</v>
      </c>
      <c r="AD119" s="207">
        <f t="shared" si="37"/>
        <v>0</v>
      </c>
      <c r="AE119" s="207">
        <f t="shared" si="37"/>
        <v>0</v>
      </c>
      <c r="AF119" s="207">
        <f t="shared" si="37"/>
        <v>2500</v>
      </c>
      <c r="AG119" s="207">
        <f t="shared" si="37"/>
        <v>0</v>
      </c>
      <c r="AH119" s="207">
        <f t="shared" si="37"/>
        <v>0</v>
      </c>
      <c r="AI119" s="207">
        <f t="shared" si="37"/>
        <v>0</v>
      </c>
      <c r="AJ119" s="207">
        <f t="shared" si="37"/>
        <v>0</v>
      </c>
      <c r="AK119" s="207">
        <f t="shared" si="37"/>
        <v>0</v>
      </c>
      <c r="AL119" s="207">
        <f t="shared" si="37"/>
        <v>0</v>
      </c>
      <c r="AM119" s="207">
        <f t="shared" si="37"/>
        <v>0</v>
      </c>
      <c r="AN119" s="207">
        <f t="shared" si="37"/>
        <v>0</v>
      </c>
      <c r="AO119" s="207">
        <f t="shared" si="37"/>
        <v>0</v>
      </c>
      <c r="AP119" s="207">
        <f t="shared" si="37"/>
        <v>0</v>
      </c>
      <c r="AQ119" s="207">
        <f t="shared" si="37"/>
        <v>0</v>
      </c>
      <c r="AR119" s="207">
        <f t="shared" si="37"/>
        <v>0</v>
      </c>
      <c r="AS119" s="207">
        <f t="shared" si="37"/>
        <v>0</v>
      </c>
      <c r="AT119" s="207">
        <f t="shared" si="37"/>
        <v>0</v>
      </c>
      <c r="AU119" s="207">
        <f t="shared" si="37"/>
        <v>0</v>
      </c>
      <c r="AV119" s="207">
        <f t="shared" si="37"/>
        <v>0</v>
      </c>
      <c r="AW119" s="207">
        <f t="shared" si="37"/>
        <v>0</v>
      </c>
      <c r="AX119" s="207">
        <f t="shared" si="37"/>
        <v>0</v>
      </c>
      <c r="AY119" s="317">
        <f t="shared" si="21"/>
        <v>2500</v>
      </c>
      <c r="AZ119" s="15">
        <f t="shared" si="22"/>
        <v>4500</v>
      </c>
    </row>
    <row r="120" spans="1:52" ht="15">
      <c r="A120" s="54">
        <v>116</v>
      </c>
      <c r="B120" s="195"/>
      <c r="C120" s="198" t="s">
        <v>567</v>
      </c>
      <c r="D120" s="279">
        <f>D111+D116+D119</f>
        <v>0</v>
      </c>
      <c r="E120" s="207">
        <f aca="true" t="shared" si="38" ref="E120:AX120">E111+E116+E119</f>
        <v>8669</v>
      </c>
      <c r="F120" s="207">
        <f t="shared" si="38"/>
        <v>2416</v>
      </c>
      <c r="G120" s="207">
        <f t="shared" si="38"/>
        <v>57819</v>
      </c>
      <c r="H120" s="207">
        <f t="shared" si="38"/>
        <v>0</v>
      </c>
      <c r="I120" s="207">
        <f t="shared" si="38"/>
        <v>2000</v>
      </c>
      <c r="J120" s="207">
        <f t="shared" si="38"/>
        <v>0</v>
      </c>
      <c r="K120" s="207">
        <f t="shared" si="38"/>
        <v>0</v>
      </c>
      <c r="L120" s="207">
        <f t="shared" si="38"/>
        <v>0</v>
      </c>
      <c r="M120" s="279">
        <f t="shared" si="38"/>
        <v>0</v>
      </c>
      <c r="N120" s="207">
        <f t="shared" si="38"/>
        <v>0</v>
      </c>
      <c r="O120" s="220">
        <f t="shared" si="20"/>
        <v>70904</v>
      </c>
      <c r="P120" s="333">
        <f t="shared" si="38"/>
        <v>4012</v>
      </c>
      <c r="Q120" s="207">
        <f t="shared" si="38"/>
        <v>0</v>
      </c>
      <c r="R120" s="207">
        <f t="shared" si="38"/>
        <v>6000</v>
      </c>
      <c r="S120" s="207">
        <f t="shared" si="38"/>
        <v>0</v>
      </c>
      <c r="T120" s="207">
        <f t="shared" si="38"/>
        <v>0</v>
      </c>
      <c r="U120" s="207">
        <f t="shared" si="38"/>
        <v>501</v>
      </c>
      <c r="V120" s="207">
        <f t="shared" si="38"/>
        <v>0</v>
      </c>
      <c r="W120" s="207">
        <f t="shared" si="38"/>
        <v>0</v>
      </c>
      <c r="X120" s="207">
        <f t="shared" si="38"/>
        <v>1558</v>
      </c>
      <c r="Y120" s="207">
        <f t="shared" si="38"/>
        <v>0</v>
      </c>
      <c r="Z120" s="207">
        <f t="shared" si="38"/>
        <v>0</v>
      </c>
      <c r="AA120" s="207">
        <f t="shared" si="38"/>
        <v>0</v>
      </c>
      <c r="AB120" s="207">
        <f t="shared" si="38"/>
        <v>60</v>
      </c>
      <c r="AC120" s="207">
        <f t="shared" si="38"/>
        <v>872</v>
      </c>
      <c r="AD120" s="207">
        <f t="shared" si="38"/>
        <v>1591</v>
      </c>
      <c r="AE120" s="207">
        <f t="shared" si="38"/>
        <v>0</v>
      </c>
      <c r="AF120" s="207">
        <f t="shared" si="38"/>
        <v>6404</v>
      </c>
      <c r="AG120" s="207">
        <f t="shared" si="38"/>
        <v>0</v>
      </c>
      <c r="AH120" s="207">
        <f t="shared" si="38"/>
        <v>0</v>
      </c>
      <c r="AI120" s="207">
        <f t="shared" si="38"/>
        <v>0</v>
      </c>
      <c r="AJ120" s="207">
        <f t="shared" si="38"/>
        <v>0</v>
      </c>
      <c r="AK120" s="207">
        <f t="shared" si="38"/>
        <v>0</v>
      </c>
      <c r="AL120" s="207">
        <f t="shared" si="38"/>
        <v>0</v>
      </c>
      <c r="AM120" s="207">
        <f t="shared" si="38"/>
        <v>0</v>
      </c>
      <c r="AN120" s="207">
        <f t="shared" si="38"/>
        <v>0</v>
      </c>
      <c r="AO120" s="207">
        <f t="shared" si="38"/>
        <v>0</v>
      </c>
      <c r="AP120" s="207">
        <f t="shared" si="38"/>
        <v>0</v>
      </c>
      <c r="AQ120" s="207">
        <f t="shared" si="38"/>
        <v>0</v>
      </c>
      <c r="AR120" s="207">
        <f t="shared" si="38"/>
        <v>869</v>
      </c>
      <c r="AS120" s="207">
        <f t="shared" si="38"/>
        <v>370</v>
      </c>
      <c r="AT120" s="207">
        <f t="shared" si="38"/>
        <v>0</v>
      </c>
      <c r="AU120" s="207">
        <f t="shared" si="38"/>
        <v>191</v>
      </c>
      <c r="AV120" s="207">
        <f t="shared" si="38"/>
        <v>367</v>
      </c>
      <c r="AW120" s="207">
        <f t="shared" si="38"/>
        <v>0</v>
      </c>
      <c r="AX120" s="207">
        <f t="shared" si="38"/>
        <v>771</v>
      </c>
      <c r="AY120" s="317">
        <f t="shared" si="21"/>
        <v>19554</v>
      </c>
      <c r="AZ120" s="15">
        <f t="shared" si="22"/>
        <v>94470</v>
      </c>
    </row>
    <row r="121" spans="1:52" ht="18.75">
      <c r="A121" s="55">
        <v>117</v>
      </c>
      <c r="B121" s="15"/>
      <c r="C121" s="199" t="s">
        <v>531</v>
      </c>
      <c r="D121" s="280">
        <f aca="true" t="shared" si="39" ref="D121:N121">D103+D120</f>
        <v>47908</v>
      </c>
      <c r="E121" s="208">
        <f t="shared" si="39"/>
        <v>8969</v>
      </c>
      <c r="F121" s="208">
        <f t="shared" si="39"/>
        <v>2496</v>
      </c>
      <c r="G121" s="208">
        <f t="shared" si="39"/>
        <v>71295</v>
      </c>
      <c r="H121" s="208">
        <f t="shared" si="39"/>
        <v>330</v>
      </c>
      <c r="I121" s="208">
        <f t="shared" si="39"/>
        <v>2800</v>
      </c>
      <c r="J121" s="208">
        <f t="shared" si="39"/>
        <v>1150</v>
      </c>
      <c r="K121" s="208">
        <f t="shared" si="39"/>
        <v>6458</v>
      </c>
      <c r="L121" s="208">
        <f t="shared" si="39"/>
        <v>460</v>
      </c>
      <c r="M121" s="280">
        <f t="shared" si="39"/>
        <v>0</v>
      </c>
      <c r="N121" s="208">
        <f t="shared" si="39"/>
        <v>4579</v>
      </c>
      <c r="O121" s="220">
        <f t="shared" si="20"/>
        <v>146445</v>
      </c>
      <c r="P121" s="334">
        <f aca="true" t="shared" si="40" ref="P121:AX121">P103+P120</f>
        <v>50117</v>
      </c>
      <c r="Q121" s="208">
        <f t="shared" si="40"/>
        <v>6034</v>
      </c>
      <c r="R121" s="208">
        <f t="shared" si="40"/>
        <v>28040</v>
      </c>
      <c r="S121" s="208">
        <f t="shared" si="40"/>
        <v>10376</v>
      </c>
      <c r="T121" s="208">
        <f t="shared" si="40"/>
        <v>4517</v>
      </c>
      <c r="U121" s="208">
        <f t="shared" si="40"/>
        <v>30425</v>
      </c>
      <c r="V121" s="208">
        <f t="shared" si="40"/>
        <v>3305</v>
      </c>
      <c r="W121" s="208">
        <f t="shared" si="40"/>
        <v>2652</v>
      </c>
      <c r="X121" s="208">
        <f t="shared" si="40"/>
        <v>1812</v>
      </c>
      <c r="Y121" s="208">
        <f t="shared" si="40"/>
        <v>4826</v>
      </c>
      <c r="Z121" s="208">
        <f t="shared" si="40"/>
        <v>250</v>
      </c>
      <c r="AA121" s="208">
        <f t="shared" si="40"/>
        <v>3814</v>
      </c>
      <c r="AB121" s="208">
        <f t="shared" si="40"/>
        <v>7677</v>
      </c>
      <c r="AC121" s="208">
        <f t="shared" si="40"/>
        <v>31695</v>
      </c>
      <c r="AD121" s="208">
        <f t="shared" si="40"/>
        <v>41964</v>
      </c>
      <c r="AE121" s="208">
        <f t="shared" si="40"/>
        <v>17302</v>
      </c>
      <c r="AF121" s="208">
        <f t="shared" si="40"/>
        <v>31263</v>
      </c>
      <c r="AG121" s="208">
        <f t="shared" si="40"/>
        <v>1035</v>
      </c>
      <c r="AH121" s="208">
        <f t="shared" si="40"/>
        <v>8385</v>
      </c>
      <c r="AI121" s="208">
        <f t="shared" si="40"/>
        <v>10638</v>
      </c>
      <c r="AJ121" s="208">
        <f t="shared" si="40"/>
        <v>1673</v>
      </c>
      <c r="AK121" s="208">
        <f t="shared" si="40"/>
        <v>300</v>
      </c>
      <c r="AL121" s="208">
        <f t="shared" si="40"/>
        <v>1200</v>
      </c>
      <c r="AM121" s="208">
        <f t="shared" si="40"/>
        <v>4502</v>
      </c>
      <c r="AN121" s="208">
        <f t="shared" si="40"/>
        <v>1421</v>
      </c>
      <c r="AO121" s="208">
        <f t="shared" si="40"/>
        <v>372</v>
      </c>
      <c r="AP121" s="208">
        <f t="shared" si="40"/>
        <v>4529</v>
      </c>
      <c r="AQ121" s="208">
        <f t="shared" si="40"/>
        <v>1100</v>
      </c>
      <c r="AR121" s="208">
        <f t="shared" si="40"/>
        <v>11285</v>
      </c>
      <c r="AS121" s="208">
        <f t="shared" si="40"/>
        <v>3652</v>
      </c>
      <c r="AT121" s="208">
        <f t="shared" si="40"/>
        <v>1131</v>
      </c>
      <c r="AU121" s="208">
        <f t="shared" si="40"/>
        <v>12215</v>
      </c>
      <c r="AV121" s="208">
        <f t="shared" si="40"/>
        <v>1082</v>
      </c>
      <c r="AW121" s="208">
        <f t="shared" si="40"/>
        <v>1435</v>
      </c>
      <c r="AX121" s="208">
        <f t="shared" si="40"/>
        <v>1413</v>
      </c>
      <c r="AY121" s="317">
        <f t="shared" si="21"/>
        <v>293320</v>
      </c>
      <c r="AZ121" s="15">
        <f t="shared" si="22"/>
        <v>489882</v>
      </c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8" scale="3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L157"/>
  <sheetViews>
    <sheetView view="pageBreakPreview" zoomScale="60" zoomScalePageLayoutView="0" workbookViewId="0" topLeftCell="A109">
      <selection activeCell="R24" sqref="R24"/>
    </sheetView>
  </sheetViews>
  <sheetFormatPr defaultColWidth="9.140625" defaultRowHeight="15"/>
  <cols>
    <col min="1" max="1" width="9.140625" style="71" customWidth="1"/>
    <col min="2" max="2" width="9.8515625" style="70" bestFit="1" customWidth="1"/>
    <col min="3" max="3" width="52.28125" style="70" customWidth="1"/>
    <col min="4" max="8" width="11.140625" style="69" customWidth="1"/>
    <col min="9" max="10" width="9.140625" style="249" customWidth="1"/>
    <col min="11" max="16384" width="9.140625" style="70" customWidth="1"/>
  </cols>
  <sheetData>
    <row r="1" spans="1:3" ht="15.75">
      <c r="A1" s="378" t="s">
        <v>858</v>
      </c>
      <c r="B1" s="379"/>
      <c r="C1" s="379"/>
    </row>
    <row r="2" spans="2:8" ht="15.75">
      <c r="B2" s="380" t="s">
        <v>532</v>
      </c>
      <c r="C2" s="380"/>
      <c r="D2" s="380"/>
      <c r="E2" s="72"/>
      <c r="F2" s="72"/>
      <c r="G2" s="72"/>
      <c r="H2" s="72"/>
    </row>
    <row r="3" spans="2:8" ht="15.75">
      <c r="B3" s="72"/>
      <c r="C3" s="72"/>
      <c r="D3" s="72"/>
      <c r="E3" s="72"/>
      <c r="F3" s="72"/>
      <c r="G3" s="72"/>
      <c r="H3" s="72"/>
    </row>
    <row r="4" spans="1:12" s="71" customFormat="1" ht="15.75">
      <c r="A4" s="73"/>
      <c r="B4" s="74" t="s">
        <v>27</v>
      </c>
      <c r="C4" s="74" t="s">
        <v>28</v>
      </c>
      <c r="D4" s="74" t="s">
        <v>29</v>
      </c>
      <c r="E4" s="74" t="s">
        <v>30</v>
      </c>
      <c r="F4" s="74" t="s">
        <v>31</v>
      </c>
      <c r="G4" s="74" t="s">
        <v>105</v>
      </c>
      <c r="H4" s="74" t="s">
        <v>60</v>
      </c>
      <c r="I4" s="335" t="s">
        <v>61</v>
      </c>
      <c r="J4" s="335" t="s">
        <v>62</v>
      </c>
      <c r="K4" s="73" t="s">
        <v>63</v>
      </c>
      <c r="L4" s="73" t="s">
        <v>64</v>
      </c>
    </row>
    <row r="5" spans="1:12" s="71" customFormat="1" ht="15.75">
      <c r="A5" s="73">
        <v>1</v>
      </c>
      <c r="B5" s="74"/>
      <c r="C5" s="74"/>
      <c r="D5" s="74"/>
      <c r="E5" s="74"/>
      <c r="F5" s="74"/>
      <c r="G5" s="74"/>
      <c r="H5" s="74"/>
      <c r="I5" s="335"/>
      <c r="J5" s="335"/>
      <c r="K5" s="73"/>
      <c r="L5" s="73"/>
    </row>
    <row r="6" spans="1:12" ht="31.5">
      <c r="A6" s="73">
        <v>2</v>
      </c>
      <c r="B6" s="75"/>
      <c r="C6" s="75"/>
      <c r="D6" s="76" t="s">
        <v>329</v>
      </c>
      <c r="E6" s="76" t="s">
        <v>774</v>
      </c>
      <c r="F6" s="76" t="s">
        <v>775</v>
      </c>
      <c r="G6" s="76" t="s">
        <v>827</v>
      </c>
      <c r="H6" s="76" t="s">
        <v>828</v>
      </c>
      <c r="I6" s="381" t="s">
        <v>776</v>
      </c>
      <c r="J6" s="381"/>
      <c r="K6" s="75" t="s">
        <v>777</v>
      </c>
      <c r="L6" s="75"/>
    </row>
    <row r="7" spans="1:12" ht="15.75">
      <c r="A7" s="73">
        <v>3</v>
      </c>
      <c r="B7" s="79" t="s">
        <v>62</v>
      </c>
      <c r="C7" s="77" t="s">
        <v>256</v>
      </c>
      <c r="D7" s="78"/>
      <c r="E7" s="78"/>
      <c r="F7" s="78"/>
      <c r="G7" s="78"/>
      <c r="H7" s="78"/>
      <c r="I7" s="336"/>
      <c r="J7" s="336"/>
      <c r="K7" s="75"/>
      <c r="L7" s="75"/>
    </row>
    <row r="8" spans="1:12" ht="15.75">
      <c r="A8" s="73">
        <v>4</v>
      </c>
      <c r="B8" s="79" t="s">
        <v>331</v>
      </c>
      <c r="C8" s="80" t="s">
        <v>257</v>
      </c>
      <c r="D8" s="135"/>
      <c r="E8" s="135"/>
      <c r="F8" s="135"/>
      <c r="G8" s="135"/>
      <c r="H8" s="135"/>
      <c r="I8" s="336"/>
      <c r="J8" s="336"/>
      <c r="K8" s="75"/>
      <c r="L8" s="75"/>
    </row>
    <row r="9" spans="1:12" ht="15.75">
      <c r="A9" s="73">
        <v>6</v>
      </c>
      <c r="B9" s="79"/>
      <c r="C9" s="80" t="s">
        <v>281</v>
      </c>
      <c r="D9" s="135">
        <v>2000</v>
      </c>
      <c r="E9" s="135">
        <v>2000</v>
      </c>
      <c r="F9" s="135">
        <v>500</v>
      </c>
      <c r="G9" s="135">
        <v>2000</v>
      </c>
      <c r="H9" s="135">
        <v>1500</v>
      </c>
      <c r="I9" s="336"/>
      <c r="J9" s="336"/>
      <c r="K9" s="75"/>
      <c r="L9" s="75"/>
    </row>
    <row r="10" spans="1:12" ht="15.75">
      <c r="A10" s="73">
        <v>6.8</v>
      </c>
      <c r="B10" s="79"/>
      <c r="C10" s="84" t="s">
        <v>258</v>
      </c>
      <c r="D10" s="78">
        <f>SUM(D9:D9)</f>
        <v>2000</v>
      </c>
      <c r="E10" s="78">
        <f>SUM(E9:E9)</f>
        <v>2000</v>
      </c>
      <c r="F10" s="78">
        <f>SUM(F9:F9)</f>
        <v>500</v>
      </c>
      <c r="G10" s="78">
        <f>SUM(G9:G9)</f>
        <v>2000</v>
      </c>
      <c r="H10" s="78">
        <f>SUM(H9:H9)</f>
        <v>1500</v>
      </c>
      <c r="I10" s="336"/>
      <c r="J10" s="336"/>
      <c r="K10" s="75"/>
      <c r="L10" s="75"/>
    </row>
    <row r="11" spans="1:12" ht="15.75">
      <c r="A11" s="73">
        <v>8</v>
      </c>
      <c r="B11" s="79"/>
      <c r="C11" s="84"/>
      <c r="D11" s="78"/>
      <c r="E11" s="78"/>
      <c r="F11" s="78"/>
      <c r="G11" s="78"/>
      <c r="H11" s="78"/>
      <c r="I11" s="336"/>
      <c r="J11" s="336"/>
      <c r="K11" s="75"/>
      <c r="L11" s="75"/>
    </row>
    <row r="12" spans="1:12" ht="15.75">
      <c r="A12" s="73">
        <v>9.2</v>
      </c>
      <c r="B12" s="79" t="s">
        <v>332</v>
      </c>
      <c r="C12" s="84" t="s">
        <v>275</v>
      </c>
      <c r="D12" s="78"/>
      <c r="E12" s="78"/>
      <c r="F12" s="78"/>
      <c r="G12" s="78"/>
      <c r="H12" s="78"/>
      <c r="I12" s="336"/>
      <c r="J12" s="336"/>
      <c r="K12" s="75"/>
      <c r="L12" s="75"/>
    </row>
    <row r="13" spans="1:12" ht="15.75">
      <c r="A13" s="73">
        <v>10.4</v>
      </c>
      <c r="B13" s="21">
        <v>841402</v>
      </c>
      <c r="C13" s="21" t="s">
        <v>780</v>
      </c>
      <c r="D13" s="78"/>
      <c r="E13" s="18">
        <v>1982</v>
      </c>
      <c r="F13" s="18">
        <v>526</v>
      </c>
      <c r="G13" s="18">
        <v>1902</v>
      </c>
      <c r="H13" s="18">
        <v>1901</v>
      </c>
      <c r="I13" s="75">
        <v>1902</v>
      </c>
      <c r="J13" s="75">
        <v>514</v>
      </c>
      <c r="K13" s="75">
        <v>1901</v>
      </c>
      <c r="L13" s="75">
        <v>513</v>
      </c>
    </row>
    <row r="14" spans="1:12" ht="15.75">
      <c r="A14" s="73">
        <v>11.6</v>
      </c>
      <c r="B14" s="21">
        <v>841403</v>
      </c>
      <c r="C14" s="21" t="s">
        <v>608</v>
      </c>
      <c r="D14" s="135">
        <v>2150</v>
      </c>
      <c r="E14" s="18">
        <v>2150</v>
      </c>
      <c r="F14" s="135">
        <v>0</v>
      </c>
      <c r="G14" s="18">
        <v>2150</v>
      </c>
      <c r="H14" s="135"/>
      <c r="I14" s="75">
        <v>2150</v>
      </c>
      <c r="J14" s="75">
        <v>581</v>
      </c>
      <c r="K14" s="75"/>
      <c r="L14" s="75"/>
    </row>
    <row r="15" spans="1:12" ht="15.75">
      <c r="A15" s="73">
        <v>12.8</v>
      </c>
      <c r="B15" s="21">
        <v>841403</v>
      </c>
      <c r="C15" s="21" t="s">
        <v>609</v>
      </c>
      <c r="D15" s="135">
        <v>1800</v>
      </c>
      <c r="E15" s="18">
        <v>1800</v>
      </c>
      <c r="F15" s="135">
        <v>0</v>
      </c>
      <c r="G15" s="18">
        <v>1800</v>
      </c>
      <c r="H15" s="135"/>
      <c r="I15" s="75">
        <v>1800</v>
      </c>
      <c r="J15" s="75">
        <v>486</v>
      </c>
      <c r="K15" s="75"/>
      <c r="L15" s="75"/>
    </row>
    <row r="16" spans="1:12" ht="15.75">
      <c r="A16" s="73">
        <v>14</v>
      </c>
      <c r="B16" s="21">
        <v>841403</v>
      </c>
      <c r="C16" s="21" t="s">
        <v>610</v>
      </c>
      <c r="D16" s="135">
        <v>2240</v>
      </c>
      <c r="E16" s="18">
        <v>2240</v>
      </c>
      <c r="F16" s="135">
        <v>0</v>
      </c>
      <c r="G16" s="18">
        <v>2240</v>
      </c>
      <c r="H16" s="135">
        <v>2240</v>
      </c>
      <c r="I16" s="75">
        <v>2240</v>
      </c>
      <c r="J16" s="75">
        <v>604</v>
      </c>
      <c r="K16" s="75">
        <v>2240</v>
      </c>
      <c r="L16" s="75">
        <v>604</v>
      </c>
    </row>
    <row r="17" spans="1:12" ht="15.75">
      <c r="A17" s="73">
        <v>15.2</v>
      </c>
      <c r="B17" s="21"/>
      <c r="C17" s="21" t="s">
        <v>797</v>
      </c>
      <c r="D17" s="135"/>
      <c r="E17" s="18">
        <v>200</v>
      </c>
      <c r="F17" s="135">
        <v>0</v>
      </c>
      <c r="G17" s="18">
        <v>200</v>
      </c>
      <c r="H17" s="135"/>
      <c r="I17" s="75">
        <v>200</v>
      </c>
      <c r="J17" s="75"/>
      <c r="K17" s="75"/>
      <c r="L17" s="75"/>
    </row>
    <row r="18" spans="1:12" ht="15.75">
      <c r="A18" s="73">
        <v>16.4</v>
      </c>
      <c r="B18" s="21"/>
      <c r="C18" s="21" t="s">
        <v>798</v>
      </c>
      <c r="D18" s="135"/>
      <c r="E18" s="18"/>
      <c r="F18" s="135">
        <v>4</v>
      </c>
      <c r="G18" s="297"/>
      <c r="H18" s="135">
        <v>4</v>
      </c>
      <c r="I18" s="75"/>
      <c r="J18" s="75"/>
      <c r="K18" s="75">
        <v>4</v>
      </c>
      <c r="L18" s="75">
        <v>2</v>
      </c>
    </row>
    <row r="19" spans="1:12" ht="15.75">
      <c r="A19" s="73">
        <v>17.6</v>
      </c>
      <c r="B19" s="21"/>
      <c r="C19" s="21" t="s">
        <v>792</v>
      </c>
      <c r="D19" s="135"/>
      <c r="E19" s="18">
        <v>67</v>
      </c>
      <c r="F19" s="135">
        <v>67</v>
      </c>
      <c r="G19" s="18">
        <f>67+160</f>
        <v>227</v>
      </c>
      <c r="H19" s="135">
        <v>67</v>
      </c>
      <c r="I19" s="75">
        <f>67+160</f>
        <v>227</v>
      </c>
      <c r="J19" s="75">
        <v>52</v>
      </c>
      <c r="K19" s="75">
        <v>67</v>
      </c>
      <c r="L19" s="75">
        <v>18</v>
      </c>
    </row>
    <row r="20" spans="1:12" ht="15.75">
      <c r="A20" s="73">
        <v>18.8</v>
      </c>
      <c r="B20" s="21"/>
      <c r="C20" s="21" t="s">
        <v>835</v>
      </c>
      <c r="D20" s="135"/>
      <c r="E20" s="18"/>
      <c r="F20" s="135"/>
      <c r="G20" s="18">
        <v>2095</v>
      </c>
      <c r="H20" s="135"/>
      <c r="I20" s="75">
        <v>2095</v>
      </c>
      <c r="J20" s="75">
        <v>567</v>
      </c>
      <c r="K20" s="75"/>
      <c r="L20" s="75"/>
    </row>
    <row r="21" spans="1:12" ht="15.75">
      <c r="A21" s="73">
        <v>20</v>
      </c>
      <c r="B21" s="21">
        <v>841403</v>
      </c>
      <c r="C21" s="21" t="s">
        <v>791</v>
      </c>
      <c r="D21" s="135"/>
      <c r="E21" s="18">
        <v>9160</v>
      </c>
      <c r="F21" s="135">
        <v>0</v>
      </c>
      <c r="G21" s="18">
        <v>3860</v>
      </c>
      <c r="H21" s="135"/>
      <c r="I21" s="75">
        <v>3860</v>
      </c>
      <c r="J21" s="75">
        <v>1042</v>
      </c>
      <c r="K21" s="75"/>
      <c r="L21" s="75"/>
    </row>
    <row r="22" spans="1:12" ht="15.75">
      <c r="A22" s="73">
        <v>21.2</v>
      </c>
      <c r="B22" s="21">
        <v>841403</v>
      </c>
      <c r="C22" s="21" t="s">
        <v>837</v>
      </c>
      <c r="D22" s="135"/>
      <c r="E22" s="18">
        <v>500</v>
      </c>
      <c r="F22" s="135">
        <v>0</v>
      </c>
      <c r="G22" s="18">
        <v>500</v>
      </c>
      <c r="H22" s="135"/>
      <c r="I22" s="75">
        <v>500</v>
      </c>
      <c r="J22" s="75">
        <v>135</v>
      </c>
      <c r="K22" s="75"/>
      <c r="L22" s="75"/>
    </row>
    <row r="23" spans="1:12" ht="15.75">
      <c r="A23" s="73">
        <v>22.4</v>
      </c>
      <c r="B23" s="21">
        <v>841403</v>
      </c>
      <c r="C23" s="21" t="s">
        <v>790</v>
      </c>
      <c r="D23" s="135"/>
      <c r="E23" s="18">
        <v>900</v>
      </c>
      <c r="F23" s="135">
        <v>900</v>
      </c>
      <c r="G23" s="18">
        <v>900</v>
      </c>
      <c r="H23" s="135">
        <v>900</v>
      </c>
      <c r="I23" s="75">
        <v>900</v>
      </c>
      <c r="J23" s="75">
        <v>0</v>
      </c>
      <c r="K23" s="75">
        <v>900</v>
      </c>
      <c r="L23" s="75">
        <v>0</v>
      </c>
    </row>
    <row r="24" spans="1:12" ht="15.75">
      <c r="A24" s="73">
        <v>23.6</v>
      </c>
      <c r="B24" s="21"/>
      <c r="C24" s="84" t="s">
        <v>279</v>
      </c>
      <c r="D24" s="78">
        <f>SUM(D14:D23)</f>
        <v>6190</v>
      </c>
      <c r="E24" s="22">
        <f aca="true" t="shared" si="0" ref="E24:L24">SUM(E13:E23)</f>
        <v>18999</v>
      </c>
      <c r="F24" s="22">
        <f t="shared" si="0"/>
        <v>1497</v>
      </c>
      <c r="G24" s="22">
        <f t="shared" si="0"/>
        <v>15874</v>
      </c>
      <c r="H24" s="22">
        <f t="shared" si="0"/>
        <v>5112</v>
      </c>
      <c r="I24" s="75">
        <f t="shared" si="0"/>
        <v>15874</v>
      </c>
      <c r="J24" s="75">
        <f t="shared" si="0"/>
        <v>3981</v>
      </c>
      <c r="K24" s="75">
        <f t="shared" si="0"/>
        <v>5112</v>
      </c>
      <c r="L24" s="75">
        <f t="shared" si="0"/>
        <v>1137</v>
      </c>
    </row>
    <row r="25" spans="1:12" ht="15.75">
      <c r="A25" s="73">
        <v>24.8</v>
      </c>
      <c r="B25" s="21"/>
      <c r="C25" s="84" t="s">
        <v>278</v>
      </c>
      <c r="D25" s="78">
        <f>581+486+604</f>
        <v>1671</v>
      </c>
      <c r="E25" s="22">
        <f>514+135+2473+8+581+486+604</f>
        <v>4801</v>
      </c>
      <c r="F25" s="78">
        <f>142+18+2</f>
        <v>162</v>
      </c>
      <c r="G25" s="78">
        <f>SUM(J13:J23)</f>
        <v>3981</v>
      </c>
      <c r="H25" s="78">
        <f>SUM(L13:L23)</f>
        <v>1137</v>
      </c>
      <c r="I25" s="336"/>
      <c r="J25" s="336"/>
      <c r="K25" s="75"/>
      <c r="L25" s="75"/>
    </row>
    <row r="26" spans="1:12" ht="15.75">
      <c r="A26" s="73">
        <v>26</v>
      </c>
      <c r="B26" s="21"/>
      <c r="C26" s="84" t="s">
        <v>280</v>
      </c>
      <c r="D26" s="78">
        <f>SUM(D24:D25)</f>
        <v>7861</v>
      </c>
      <c r="E26" s="22">
        <f>SUM(E24:E25)</f>
        <v>23800</v>
      </c>
      <c r="F26" s="78">
        <f>SUM(F24:F25)</f>
        <v>1659</v>
      </c>
      <c r="G26" s="78">
        <f>SUM(G24:G25)</f>
        <v>19855</v>
      </c>
      <c r="H26" s="78">
        <f>SUM(H24:H25)</f>
        <v>6249</v>
      </c>
      <c r="I26" s="336"/>
      <c r="J26" s="336"/>
      <c r="K26" s="75"/>
      <c r="L26" s="75"/>
    </row>
    <row r="27" spans="1:12" ht="15.75">
      <c r="A27" s="73">
        <v>27.2</v>
      </c>
      <c r="B27" s="21"/>
      <c r="C27" s="84"/>
      <c r="D27" s="78"/>
      <c r="E27" s="254"/>
      <c r="F27" s="78"/>
      <c r="G27" s="78">
        <v>19855</v>
      </c>
      <c r="H27" s="78">
        <v>6249</v>
      </c>
      <c r="I27" s="336"/>
      <c r="J27" s="336"/>
      <c r="K27" s="75"/>
      <c r="L27" s="75"/>
    </row>
    <row r="28" spans="1:12" ht="15.75">
      <c r="A28" s="73">
        <v>28.4</v>
      </c>
      <c r="B28" s="21" t="s">
        <v>333</v>
      </c>
      <c r="C28" s="84" t="s">
        <v>282</v>
      </c>
      <c r="D28" s="78"/>
      <c r="E28" s="254"/>
      <c r="F28" s="78"/>
      <c r="G28" s="78"/>
      <c r="H28" s="78"/>
      <c r="I28" s="336"/>
      <c r="J28" s="336"/>
      <c r="K28" s="75"/>
      <c r="L28" s="75"/>
    </row>
    <row r="29" spans="1:12" ht="15.75">
      <c r="A29" s="73">
        <v>29.6</v>
      </c>
      <c r="B29" s="21">
        <v>841403</v>
      </c>
      <c r="C29" s="21" t="s">
        <v>276</v>
      </c>
      <c r="D29" s="135">
        <v>6864</v>
      </c>
      <c r="E29" s="18">
        <v>6864</v>
      </c>
      <c r="F29" s="18">
        <v>6863</v>
      </c>
      <c r="G29" s="18">
        <v>6864</v>
      </c>
      <c r="H29" s="18">
        <v>6863</v>
      </c>
      <c r="I29" s="21">
        <v>6864</v>
      </c>
      <c r="J29" s="21">
        <v>1853</v>
      </c>
      <c r="K29" s="21">
        <v>6863</v>
      </c>
      <c r="L29" s="21">
        <v>1853</v>
      </c>
    </row>
    <row r="30" spans="1:12" ht="31.5">
      <c r="A30" s="73">
        <v>30.8</v>
      </c>
      <c r="B30" s="21">
        <v>841403</v>
      </c>
      <c r="C30" s="253" t="s">
        <v>796</v>
      </c>
      <c r="D30" s="135">
        <v>3274</v>
      </c>
      <c r="E30" s="18">
        <v>3480</v>
      </c>
      <c r="F30" s="18">
        <v>3479</v>
      </c>
      <c r="G30" s="18">
        <v>3480</v>
      </c>
      <c r="H30" s="18">
        <v>3479</v>
      </c>
      <c r="I30" s="21">
        <f>3274+206</f>
        <v>3480</v>
      </c>
      <c r="J30" s="21">
        <f>884+56</f>
        <v>940</v>
      </c>
      <c r="K30" s="21">
        <v>3479</v>
      </c>
      <c r="L30" s="21">
        <v>939</v>
      </c>
    </row>
    <row r="31" spans="1:12" ht="15.75">
      <c r="A31" s="73">
        <v>32</v>
      </c>
      <c r="B31" s="21">
        <v>841403</v>
      </c>
      <c r="C31" s="21" t="s">
        <v>799</v>
      </c>
      <c r="D31" s="135">
        <v>9017</v>
      </c>
      <c r="E31" s="18">
        <v>9017</v>
      </c>
      <c r="F31" s="18">
        <v>70</v>
      </c>
      <c r="G31" s="18">
        <v>9017</v>
      </c>
      <c r="H31" s="18">
        <v>8851</v>
      </c>
      <c r="I31" s="21">
        <f>8781+236</f>
        <v>9017</v>
      </c>
      <c r="J31" s="21">
        <v>2434</v>
      </c>
      <c r="K31" s="21">
        <v>8851</v>
      </c>
      <c r="L31" s="21">
        <v>2390</v>
      </c>
    </row>
    <row r="32" spans="1:12" ht="15.75">
      <c r="A32" s="73">
        <v>33.2</v>
      </c>
      <c r="B32" s="21"/>
      <c r="C32" s="21" t="s">
        <v>793</v>
      </c>
      <c r="D32" s="135"/>
      <c r="E32" s="18">
        <v>1135</v>
      </c>
      <c r="F32" s="18"/>
      <c r="G32" s="18">
        <v>1135</v>
      </c>
      <c r="H32" s="18"/>
      <c r="I32" s="21">
        <v>1135</v>
      </c>
      <c r="J32" s="21">
        <v>306</v>
      </c>
      <c r="K32" s="21"/>
      <c r="L32" s="21"/>
    </row>
    <row r="33" spans="1:12" ht="15.75">
      <c r="A33" s="73">
        <v>34.4</v>
      </c>
      <c r="B33" s="21"/>
      <c r="C33" s="21" t="s">
        <v>794</v>
      </c>
      <c r="D33" s="135"/>
      <c r="E33" s="18">
        <v>423</v>
      </c>
      <c r="F33" s="18"/>
      <c r="G33" s="18">
        <v>423</v>
      </c>
      <c r="H33" s="18"/>
      <c r="I33" s="21">
        <v>423</v>
      </c>
      <c r="J33" s="21">
        <v>114</v>
      </c>
      <c r="K33" s="21"/>
      <c r="L33" s="21"/>
    </row>
    <row r="34" spans="1:12" ht="15.75">
      <c r="A34" s="73">
        <v>35.6</v>
      </c>
      <c r="B34" s="21"/>
      <c r="C34" s="21" t="s">
        <v>795</v>
      </c>
      <c r="D34" s="135"/>
      <c r="E34" s="18">
        <f>7615+225+250</f>
        <v>8090</v>
      </c>
      <c r="F34" s="18"/>
      <c r="G34" s="18">
        <v>8090</v>
      </c>
      <c r="H34" s="18"/>
      <c r="I34" s="21">
        <f>7615+225+250</f>
        <v>8090</v>
      </c>
      <c r="J34" s="21">
        <v>2185</v>
      </c>
      <c r="K34" s="21"/>
      <c r="L34" s="21"/>
    </row>
    <row r="35" spans="1:12" ht="15.75">
      <c r="A35" s="73">
        <v>36.8</v>
      </c>
      <c r="B35" s="21"/>
      <c r="C35" s="21" t="s">
        <v>836</v>
      </c>
      <c r="D35" s="135"/>
      <c r="E35" s="18">
        <v>200</v>
      </c>
      <c r="F35" s="18"/>
      <c r="G35" s="18">
        <v>421</v>
      </c>
      <c r="H35" s="18">
        <v>200</v>
      </c>
      <c r="I35" s="21">
        <v>421</v>
      </c>
      <c r="J35" s="21">
        <v>113</v>
      </c>
      <c r="K35" s="21">
        <v>200</v>
      </c>
      <c r="L35" s="21">
        <v>54</v>
      </c>
    </row>
    <row r="36" spans="1:12" s="245" customFormat="1" ht="15.75">
      <c r="A36" s="73">
        <v>38</v>
      </c>
      <c r="B36" s="21">
        <v>841403</v>
      </c>
      <c r="C36" s="21" t="s">
        <v>614</v>
      </c>
      <c r="D36" s="135">
        <v>2006</v>
      </c>
      <c r="E36" s="18">
        <f>2006+360</f>
        <v>2366</v>
      </c>
      <c r="F36" s="18">
        <v>1976</v>
      </c>
      <c r="G36" s="18">
        <v>2366</v>
      </c>
      <c r="H36" s="18">
        <v>2336</v>
      </c>
      <c r="I36" s="21">
        <v>2366</v>
      </c>
      <c r="J36" s="21">
        <v>639</v>
      </c>
      <c r="K36" s="21">
        <v>2336</v>
      </c>
      <c r="L36" s="21">
        <v>631</v>
      </c>
    </row>
    <row r="37" spans="1:12" ht="15.75">
      <c r="A37" s="73">
        <v>39.2</v>
      </c>
      <c r="B37" s="21">
        <v>680001</v>
      </c>
      <c r="C37" s="21" t="s">
        <v>607</v>
      </c>
      <c r="D37" s="135">
        <v>6596</v>
      </c>
      <c r="E37" s="18">
        <v>6827</v>
      </c>
      <c r="F37" s="18">
        <v>6562</v>
      </c>
      <c r="G37" s="18">
        <v>6827</v>
      </c>
      <c r="H37" s="18">
        <v>6562</v>
      </c>
      <c r="I37" s="21">
        <f>6596+231</f>
        <v>6827</v>
      </c>
      <c r="J37" s="21">
        <v>1842</v>
      </c>
      <c r="K37" s="21">
        <v>6562</v>
      </c>
      <c r="L37" s="21">
        <v>1772</v>
      </c>
    </row>
    <row r="38" spans="1:12" ht="15.75">
      <c r="A38" s="73">
        <v>40.4</v>
      </c>
      <c r="B38" s="21"/>
      <c r="C38" s="84" t="s">
        <v>283</v>
      </c>
      <c r="D38" s="78">
        <f aca="true" t="shared" si="1" ref="D38:L38">SUM(D29:D37)</f>
        <v>27757</v>
      </c>
      <c r="E38" s="22">
        <f>SUM(E29:E37)</f>
        <v>38402</v>
      </c>
      <c r="F38" s="22">
        <f t="shared" si="1"/>
        <v>18950</v>
      </c>
      <c r="G38" s="22">
        <f t="shared" si="1"/>
        <v>38623</v>
      </c>
      <c r="H38" s="22">
        <f t="shared" si="1"/>
        <v>28291</v>
      </c>
      <c r="I38" s="21">
        <f t="shared" si="1"/>
        <v>38623</v>
      </c>
      <c r="J38" s="21">
        <f t="shared" si="1"/>
        <v>10426</v>
      </c>
      <c r="K38" s="21">
        <f t="shared" si="1"/>
        <v>28291</v>
      </c>
      <c r="L38" s="21">
        <f t="shared" si="1"/>
        <v>7639</v>
      </c>
    </row>
    <row r="39" spans="1:12" ht="15.75">
      <c r="A39" s="73">
        <v>41.6</v>
      </c>
      <c r="B39" s="21"/>
      <c r="C39" s="93" t="s">
        <v>259</v>
      </c>
      <c r="D39" s="78">
        <f>1853+884+2370+1780+541+64</f>
        <v>7492</v>
      </c>
      <c r="E39" s="22">
        <f>1843+54+639+2117+2434+940+1853+306+114+68-1</f>
        <v>10367</v>
      </c>
      <c r="F39" s="22">
        <f>1772+19+939+534+1853</f>
        <v>5117</v>
      </c>
      <c r="G39" s="22">
        <f>J38</f>
        <v>10426</v>
      </c>
      <c r="H39" s="22">
        <f>L38</f>
        <v>7639</v>
      </c>
      <c r="I39" s="21"/>
      <c r="J39" s="21"/>
      <c r="K39" s="21"/>
      <c r="L39" s="21"/>
    </row>
    <row r="40" spans="1:12" ht="15.75">
      <c r="A40" s="73">
        <v>42.8</v>
      </c>
      <c r="B40" s="21"/>
      <c r="C40" s="93" t="s">
        <v>213</v>
      </c>
      <c r="D40" s="78">
        <f>SUM(D38:D39)</f>
        <v>35249</v>
      </c>
      <c r="E40" s="22">
        <f>SUM(E38:E39)</f>
        <v>48769</v>
      </c>
      <c r="F40" s="22">
        <f>SUM(F38:F39)</f>
        <v>24067</v>
      </c>
      <c r="G40" s="22">
        <f>G38+G39</f>
        <v>49049</v>
      </c>
      <c r="H40" s="22">
        <f>H39+H38</f>
        <v>35930</v>
      </c>
      <c r="I40" s="21"/>
      <c r="J40" s="21"/>
      <c r="K40" s="21"/>
      <c r="L40" s="21"/>
    </row>
    <row r="41" spans="1:12" ht="15.75">
      <c r="A41" s="73">
        <v>44</v>
      </c>
      <c r="B41" s="21"/>
      <c r="C41" s="80"/>
      <c r="D41" s="135"/>
      <c r="E41" s="135"/>
      <c r="F41" s="135"/>
      <c r="G41" s="135">
        <v>49049</v>
      </c>
      <c r="H41" s="135">
        <v>35930</v>
      </c>
      <c r="I41" s="336"/>
      <c r="J41" s="336"/>
      <c r="K41" s="75"/>
      <c r="L41" s="75"/>
    </row>
    <row r="42" spans="1:12" s="86" customFormat="1" ht="15.75">
      <c r="A42" s="73">
        <v>45.2</v>
      </c>
      <c r="B42" s="84"/>
      <c r="C42" s="93" t="s">
        <v>284</v>
      </c>
      <c r="D42" s="78">
        <f>D10+D26+D40</f>
        <v>45110</v>
      </c>
      <c r="E42" s="78">
        <f>E10+E26+E40</f>
        <v>74569</v>
      </c>
      <c r="F42" s="78">
        <f>F10+F26+F40</f>
        <v>26226</v>
      </c>
      <c r="G42" s="78">
        <f>G10+G26+G40</f>
        <v>70904</v>
      </c>
      <c r="H42" s="78">
        <f>H10+H26+H40</f>
        <v>43679</v>
      </c>
      <c r="I42" s="337"/>
      <c r="J42" s="337"/>
      <c r="K42" s="84"/>
      <c r="L42" s="84"/>
    </row>
    <row r="43" spans="1:12" s="86" customFormat="1" ht="15.75">
      <c r="A43" s="73">
        <v>46.4</v>
      </c>
      <c r="B43" s="84"/>
      <c r="C43" s="93"/>
      <c r="D43" s="78"/>
      <c r="E43" s="78"/>
      <c r="F43" s="78"/>
      <c r="G43" s="78"/>
      <c r="H43" s="78"/>
      <c r="I43" s="337"/>
      <c r="J43" s="337"/>
      <c r="K43" s="84"/>
      <c r="L43" s="84"/>
    </row>
    <row r="44" spans="1:12" s="86" customFormat="1" ht="22.5">
      <c r="A44" s="73">
        <v>47.6</v>
      </c>
      <c r="B44" s="121" t="s">
        <v>334</v>
      </c>
      <c r="C44" s="122" t="s">
        <v>116</v>
      </c>
      <c r="D44" s="78"/>
      <c r="E44" s="78"/>
      <c r="F44" s="78"/>
      <c r="G44" s="78"/>
      <c r="H44" s="78"/>
      <c r="I44" s="337"/>
      <c r="J44" s="337"/>
      <c r="K44" s="84"/>
      <c r="L44" s="84"/>
    </row>
    <row r="45" spans="1:12" s="86" customFormat="1" ht="15.75">
      <c r="A45" s="73">
        <v>48.8</v>
      </c>
      <c r="B45" s="84"/>
      <c r="C45" s="93" t="s">
        <v>611</v>
      </c>
      <c r="D45" s="78">
        <v>903</v>
      </c>
      <c r="E45" s="78">
        <v>903</v>
      </c>
      <c r="F45" s="78">
        <v>902</v>
      </c>
      <c r="G45" s="78">
        <v>903</v>
      </c>
      <c r="H45" s="78">
        <v>902</v>
      </c>
      <c r="I45" s="84">
        <v>903</v>
      </c>
      <c r="J45" s="84">
        <v>244</v>
      </c>
      <c r="K45" s="84">
        <v>903</v>
      </c>
      <c r="L45" s="84">
        <v>244</v>
      </c>
    </row>
    <row r="46" spans="1:12" s="86" customFormat="1" ht="15.75">
      <c r="A46" s="73">
        <v>50</v>
      </c>
      <c r="B46" s="84"/>
      <c r="C46" s="93" t="s">
        <v>612</v>
      </c>
      <c r="D46" s="78">
        <v>378</v>
      </c>
      <c r="E46" s="78">
        <v>378</v>
      </c>
      <c r="F46" s="78">
        <v>0</v>
      </c>
      <c r="G46" s="78">
        <v>390</v>
      </c>
      <c r="H46" s="78">
        <v>307</v>
      </c>
      <c r="I46" s="84">
        <v>378</v>
      </c>
      <c r="J46" s="84">
        <v>102</v>
      </c>
      <c r="K46" s="84"/>
      <c r="L46" s="84"/>
    </row>
    <row r="47" spans="1:12" s="86" customFormat="1" ht="15.75">
      <c r="A47" s="73">
        <v>51.2</v>
      </c>
      <c r="B47" s="84"/>
      <c r="C47" s="93" t="s">
        <v>243</v>
      </c>
      <c r="D47" s="78">
        <f>244+102</f>
        <v>346</v>
      </c>
      <c r="E47" s="78">
        <v>346</v>
      </c>
      <c r="F47" s="78">
        <v>244</v>
      </c>
      <c r="G47" s="78">
        <v>349</v>
      </c>
      <c r="H47" s="78">
        <v>327</v>
      </c>
      <c r="I47" s="84"/>
      <c r="J47" s="84"/>
      <c r="K47" s="84"/>
      <c r="L47" s="84"/>
    </row>
    <row r="48" spans="1:12" s="86" customFormat="1" ht="15.75">
      <c r="A48" s="73">
        <v>52.4</v>
      </c>
      <c r="B48" s="84"/>
      <c r="C48" s="93" t="s">
        <v>335</v>
      </c>
      <c r="D48" s="78">
        <f>SUM(D45:D47)</f>
        <v>1627</v>
      </c>
      <c r="E48" s="78">
        <f>SUM(E45:E47)</f>
        <v>1627</v>
      </c>
      <c r="F48" s="78">
        <f>SUM(F45:F47)</f>
        <v>1146</v>
      </c>
      <c r="G48" s="78">
        <f>SUM(G45:G47)</f>
        <v>1642</v>
      </c>
      <c r="H48" s="78">
        <f>SUM(H45:H47)</f>
        <v>1536</v>
      </c>
      <c r="I48" s="84"/>
      <c r="J48" s="84"/>
      <c r="K48" s="84"/>
      <c r="L48" s="84"/>
    </row>
    <row r="49" spans="1:12" s="86" customFormat="1" ht="15.75">
      <c r="A49" s="73">
        <v>53.6</v>
      </c>
      <c r="B49" s="84"/>
      <c r="C49" s="93"/>
      <c r="D49" s="78"/>
      <c r="E49" s="78"/>
      <c r="F49" s="78"/>
      <c r="G49" s="78"/>
      <c r="H49" s="78"/>
      <c r="I49" s="84"/>
      <c r="J49" s="84"/>
      <c r="K49" s="84"/>
      <c r="L49" s="84"/>
    </row>
    <row r="50" spans="1:12" s="86" customFormat="1" ht="15.75">
      <c r="A50" s="73">
        <v>54.8</v>
      </c>
      <c r="B50" s="84"/>
      <c r="C50" s="93" t="s">
        <v>613</v>
      </c>
      <c r="D50" s="78">
        <v>630</v>
      </c>
      <c r="E50" s="78">
        <v>630</v>
      </c>
      <c r="F50" s="78">
        <v>0</v>
      </c>
      <c r="G50" s="78">
        <v>1866</v>
      </c>
      <c r="H50" s="78">
        <v>203</v>
      </c>
      <c r="I50" s="84">
        <v>630</v>
      </c>
      <c r="J50" s="84">
        <v>170</v>
      </c>
      <c r="K50" s="84"/>
      <c r="L50" s="84"/>
    </row>
    <row r="51" spans="1:12" s="86" customFormat="1" ht="15.75">
      <c r="A51" s="73">
        <v>56</v>
      </c>
      <c r="B51" s="84"/>
      <c r="C51" s="93" t="s">
        <v>243</v>
      </c>
      <c r="D51" s="78">
        <v>170</v>
      </c>
      <c r="E51" s="78">
        <v>170</v>
      </c>
      <c r="F51" s="78">
        <v>0</v>
      </c>
      <c r="G51" s="78">
        <v>504</v>
      </c>
      <c r="H51" s="78">
        <v>55</v>
      </c>
      <c r="I51" s="84"/>
      <c r="J51" s="84"/>
      <c r="K51" s="84"/>
      <c r="L51" s="84"/>
    </row>
    <row r="52" spans="1:12" s="86" customFormat="1" ht="15.75">
      <c r="A52" s="73">
        <v>57.2</v>
      </c>
      <c r="B52" s="84"/>
      <c r="C52" s="93" t="s">
        <v>213</v>
      </c>
      <c r="D52" s="78">
        <f>SUM(D50:D51)</f>
        <v>800</v>
      </c>
      <c r="E52" s="78">
        <f>SUM(E50:E51)</f>
        <v>800</v>
      </c>
      <c r="F52" s="78">
        <f>SUM(F50:F51)</f>
        <v>0</v>
      </c>
      <c r="G52" s="78">
        <f>SUM(G50:G51)</f>
        <v>2370</v>
      </c>
      <c r="H52" s="78">
        <f>SUM(H50:H51)</f>
        <v>258</v>
      </c>
      <c r="I52" s="337"/>
      <c r="J52" s="337"/>
      <c r="K52" s="84"/>
      <c r="L52" s="84"/>
    </row>
    <row r="53" spans="1:12" ht="15.75">
      <c r="A53" s="73">
        <v>58.4</v>
      </c>
      <c r="B53" s="79"/>
      <c r="C53" s="80"/>
      <c r="D53" s="135"/>
      <c r="E53" s="135"/>
      <c r="F53" s="135"/>
      <c r="G53" s="135"/>
      <c r="H53" s="135"/>
      <c r="I53" s="336"/>
      <c r="J53" s="336"/>
      <c r="K53" s="75"/>
      <c r="L53" s="75"/>
    </row>
    <row r="54" spans="1:12" ht="22.5">
      <c r="A54" s="73">
        <v>59.6</v>
      </c>
      <c r="B54" s="123" t="s">
        <v>336</v>
      </c>
      <c r="C54" s="124" t="s">
        <v>168</v>
      </c>
      <c r="D54" s="135"/>
      <c r="E54" s="135"/>
      <c r="F54" s="135"/>
      <c r="G54" s="135"/>
      <c r="H54" s="135"/>
      <c r="I54" s="336"/>
      <c r="J54" s="336"/>
      <c r="K54" s="75"/>
      <c r="L54" s="75"/>
    </row>
    <row r="55" spans="1:12" ht="15.75">
      <c r="A55" s="73">
        <v>60.8</v>
      </c>
      <c r="B55" s="79"/>
      <c r="C55" s="93"/>
      <c r="D55" s="135"/>
      <c r="E55" s="135"/>
      <c r="F55" s="135"/>
      <c r="G55" s="135"/>
      <c r="H55" s="135"/>
      <c r="I55" s="336"/>
      <c r="J55" s="336"/>
      <c r="K55" s="75"/>
      <c r="L55" s="75"/>
    </row>
    <row r="56" spans="1:12" ht="15.75">
      <c r="A56" s="73">
        <v>62</v>
      </c>
      <c r="B56" s="79" t="s">
        <v>337</v>
      </c>
      <c r="C56" s="93" t="s">
        <v>257</v>
      </c>
      <c r="D56" s="135"/>
      <c r="E56" s="135"/>
      <c r="F56" s="135"/>
      <c r="G56" s="135"/>
      <c r="H56" s="135"/>
      <c r="I56" s="336"/>
      <c r="J56" s="336"/>
      <c r="K56" s="75"/>
      <c r="L56" s="75"/>
    </row>
    <row r="57" spans="1:12" ht="15.75">
      <c r="A57" s="73">
        <v>63.2</v>
      </c>
      <c r="B57" s="79"/>
      <c r="C57" s="80" t="s">
        <v>338</v>
      </c>
      <c r="D57" s="135">
        <v>2500</v>
      </c>
      <c r="E57" s="135">
        <v>2500</v>
      </c>
      <c r="F57" s="135">
        <v>42</v>
      </c>
      <c r="G57" s="135">
        <v>2500</v>
      </c>
      <c r="H57" s="135">
        <v>42</v>
      </c>
      <c r="I57" s="336"/>
      <c r="J57" s="336"/>
      <c r="K57" s="75"/>
      <c r="L57" s="75"/>
    </row>
    <row r="58" spans="1:12" ht="15.75">
      <c r="A58" s="73">
        <v>64.4</v>
      </c>
      <c r="B58" s="79"/>
      <c r="C58" s="80"/>
      <c r="D58" s="135"/>
      <c r="E58" s="135"/>
      <c r="F58" s="135"/>
      <c r="G58" s="135"/>
      <c r="H58" s="135"/>
      <c r="I58" s="336"/>
      <c r="J58" s="336"/>
      <c r="K58" s="75"/>
      <c r="L58" s="75"/>
    </row>
    <row r="59" spans="1:12" ht="20.25">
      <c r="A59" s="73">
        <v>65.6</v>
      </c>
      <c r="B59" s="74" t="s">
        <v>339</v>
      </c>
      <c r="C59" s="227" t="s">
        <v>340</v>
      </c>
      <c r="D59" s="83"/>
      <c r="E59" s="83"/>
      <c r="F59" s="83"/>
      <c r="G59" s="83"/>
      <c r="H59" s="83"/>
      <c r="I59" s="336"/>
      <c r="J59" s="336"/>
      <c r="K59" s="75"/>
      <c r="L59" s="75"/>
    </row>
    <row r="60" spans="1:12" ht="15.75">
      <c r="A60" s="73">
        <v>66.8</v>
      </c>
      <c r="B60" s="74">
        <v>841154</v>
      </c>
      <c r="C60" s="79" t="s">
        <v>261</v>
      </c>
      <c r="D60" s="83"/>
      <c r="E60" s="83"/>
      <c r="F60" s="83"/>
      <c r="G60" s="83"/>
      <c r="H60" s="83"/>
      <c r="I60" s="338"/>
      <c r="J60" s="338"/>
      <c r="K60" s="75"/>
      <c r="L60" s="75"/>
    </row>
    <row r="61" spans="1:12" ht="15.75">
      <c r="A61" s="73">
        <v>68</v>
      </c>
      <c r="B61" s="74"/>
      <c r="C61" s="75" t="s">
        <v>623</v>
      </c>
      <c r="D61" s="83">
        <v>675</v>
      </c>
      <c r="E61" s="83">
        <v>675</v>
      </c>
      <c r="F61" s="83">
        <v>725</v>
      </c>
      <c r="G61" s="83">
        <v>675</v>
      </c>
      <c r="H61" s="83">
        <v>725</v>
      </c>
      <c r="I61" s="339">
        <v>675</v>
      </c>
      <c r="J61" s="339">
        <v>226</v>
      </c>
      <c r="K61" s="75"/>
      <c r="L61" s="75"/>
    </row>
    <row r="62" spans="1:12" ht="15.75">
      <c r="A62" s="73">
        <v>69.2</v>
      </c>
      <c r="B62" s="74"/>
      <c r="C62" s="75" t="s">
        <v>624</v>
      </c>
      <c r="D62" s="83">
        <v>120</v>
      </c>
      <c r="E62" s="83">
        <v>120</v>
      </c>
      <c r="F62" s="83">
        <v>0</v>
      </c>
      <c r="G62" s="83">
        <v>120</v>
      </c>
      <c r="H62" s="83">
        <v>0</v>
      </c>
      <c r="I62" s="339">
        <v>120</v>
      </c>
      <c r="J62" s="339">
        <v>33</v>
      </c>
      <c r="K62" s="75"/>
      <c r="L62" s="75"/>
    </row>
    <row r="63" spans="1:12" ht="15.75">
      <c r="A63" s="73">
        <v>70.4</v>
      </c>
      <c r="B63" s="74"/>
      <c r="C63" s="75" t="s">
        <v>812</v>
      </c>
      <c r="D63" s="83"/>
      <c r="E63" s="83">
        <v>160</v>
      </c>
      <c r="F63" s="83">
        <v>126</v>
      </c>
      <c r="G63" s="83">
        <v>160</v>
      </c>
      <c r="H63" s="83">
        <v>160</v>
      </c>
      <c r="I63" s="339">
        <v>160</v>
      </c>
      <c r="J63" s="339"/>
      <c r="K63" s="75"/>
      <c r="L63" s="75"/>
    </row>
    <row r="64" spans="1:12" s="245" customFormat="1" ht="15.75">
      <c r="A64" s="73">
        <v>71.6</v>
      </c>
      <c r="B64" s="246"/>
      <c r="C64" s="244" t="s">
        <v>341</v>
      </c>
      <c r="D64" s="247">
        <v>423</v>
      </c>
      <c r="E64" s="247">
        <v>423</v>
      </c>
      <c r="F64" s="247">
        <v>375</v>
      </c>
      <c r="G64" s="247">
        <v>423</v>
      </c>
      <c r="H64" s="247">
        <v>375</v>
      </c>
      <c r="I64" s="340">
        <v>423</v>
      </c>
      <c r="J64" s="340">
        <v>114</v>
      </c>
      <c r="K64" s="244"/>
      <c r="L64" s="244"/>
    </row>
    <row r="65" spans="1:12" s="245" customFormat="1" ht="15.75">
      <c r="A65" s="73">
        <v>72.8</v>
      </c>
      <c r="B65" s="246"/>
      <c r="C65" s="244" t="s">
        <v>279</v>
      </c>
      <c r="D65" s="247">
        <f>SUM(D61:D64)</f>
        <v>1218</v>
      </c>
      <c r="E65" s="247">
        <f>SUM(E61:E64)</f>
        <v>1378</v>
      </c>
      <c r="F65" s="247">
        <f>SUM(F61:F64)</f>
        <v>1226</v>
      </c>
      <c r="G65" s="247">
        <f>SUM(G61:G64)</f>
        <v>1378</v>
      </c>
      <c r="H65" s="247">
        <f>SUM(H61:H64)</f>
        <v>1260</v>
      </c>
      <c r="I65" s="340"/>
      <c r="J65" s="340"/>
      <c r="K65" s="244"/>
      <c r="L65" s="244"/>
    </row>
    <row r="66" spans="1:12" ht="15.75">
      <c r="A66" s="73">
        <v>74</v>
      </c>
      <c r="B66" s="74"/>
      <c r="C66" s="75" t="s">
        <v>241</v>
      </c>
      <c r="D66" s="83">
        <f>226+33+114</f>
        <v>373</v>
      </c>
      <c r="E66" s="83">
        <v>373</v>
      </c>
      <c r="F66" s="83">
        <f>314</f>
        <v>314</v>
      </c>
      <c r="G66" s="83">
        <v>373</v>
      </c>
      <c r="H66" s="83">
        <v>280</v>
      </c>
      <c r="I66" s="340">
        <f>SUM(I61:I64)</f>
        <v>1378</v>
      </c>
      <c r="J66" s="340">
        <f>SUM(J61:J64)</f>
        <v>373</v>
      </c>
      <c r="K66" s="341"/>
      <c r="L66" s="341"/>
    </row>
    <row r="67" spans="1:12" ht="15.75">
      <c r="A67" s="73">
        <v>75.2</v>
      </c>
      <c r="B67" s="74"/>
      <c r="C67" s="79" t="s">
        <v>242</v>
      </c>
      <c r="D67" s="81">
        <f>SUM(D65:D66)</f>
        <v>1591</v>
      </c>
      <c r="E67" s="81">
        <f>SUM(E65:E66)</f>
        <v>1751</v>
      </c>
      <c r="F67" s="81">
        <f>SUM(F65:F66)</f>
        <v>1540</v>
      </c>
      <c r="G67" s="81">
        <f>SUM(G65:G66)</f>
        <v>1751</v>
      </c>
      <c r="H67" s="81">
        <f>SUM(H65:H66)</f>
        <v>1540</v>
      </c>
      <c r="I67" s="340"/>
      <c r="J67" s="340"/>
      <c r="K67" s="75"/>
      <c r="L67" s="75"/>
    </row>
    <row r="68" spans="1:12" ht="15.75">
      <c r="A68" s="73">
        <v>76.4</v>
      </c>
      <c r="B68" s="74"/>
      <c r="C68" s="79"/>
      <c r="D68" s="81"/>
      <c r="E68" s="81"/>
      <c r="F68" s="81"/>
      <c r="G68" s="81"/>
      <c r="H68" s="81"/>
      <c r="I68" s="340"/>
      <c r="J68" s="340"/>
      <c r="K68" s="75"/>
      <c r="L68" s="75"/>
    </row>
    <row r="69" spans="1:12" ht="15.75">
      <c r="A69" s="73">
        <v>77.6</v>
      </c>
      <c r="B69" s="74">
        <v>680001</v>
      </c>
      <c r="C69" s="79" t="s">
        <v>802</v>
      </c>
      <c r="D69" s="81"/>
      <c r="E69" s="81"/>
      <c r="F69" s="81"/>
      <c r="G69" s="81"/>
      <c r="H69" s="81"/>
      <c r="I69" s="340"/>
      <c r="J69" s="340"/>
      <c r="K69" s="75"/>
      <c r="L69" s="75"/>
    </row>
    <row r="70" spans="1:12" ht="15.75">
      <c r="A70" s="73">
        <v>78.8</v>
      </c>
      <c r="B70" s="74"/>
      <c r="C70" s="79" t="s">
        <v>803</v>
      </c>
      <c r="D70" s="81"/>
      <c r="E70" s="81">
        <v>1227</v>
      </c>
      <c r="F70" s="81">
        <v>1032</v>
      </c>
      <c r="G70" s="81">
        <v>1227</v>
      </c>
      <c r="H70" s="81">
        <v>1032</v>
      </c>
      <c r="I70" s="340">
        <f>967+330</f>
        <v>1297</v>
      </c>
      <c r="J70" s="340">
        <v>261</v>
      </c>
      <c r="K70" s="75">
        <f>967+65</f>
        <v>1032</v>
      </c>
      <c r="L70" s="75">
        <v>261</v>
      </c>
    </row>
    <row r="71" spans="1:12" ht="15.75">
      <c r="A71" s="73">
        <v>80</v>
      </c>
      <c r="B71" s="74"/>
      <c r="C71" s="79" t="s">
        <v>243</v>
      </c>
      <c r="D71" s="81"/>
      <c r="E71" s="81">
        <v>331</v>
      </c>
      <c r="F71" s="81">
        <v>261</v>
      </c>
      <c r="G71" s="81">
        <v>331</v>
      </c>
      <c r="H71" s="81">
        <v>261</v>
      </c>
      <c r="I71" s="340"/>
      <c r="J71" s="340"/>
      <c r="K71" s="75"/>
      <c r="L71" s="75"/>
    </row>
    <row r="72" spans="1:12" ht="15.75">
      <c r="A72" s="73">
        <v>81.2</v>
      </c>
      <c r="B72" s="74"/>
      <c r="C72" s="79" t="s">
        <v>219</v>
      </c>
      <c r="D72" s="81">
        <f>SUM(D70:D71)</f>
        <v>0</v>
      </c>
      <c r="E72" s="81">
        <f>SUM(E70:E71)</f>
        <v>1558</v>
      </c>
      <c r="F72" s="81">
        <f>SUM(F70:F71)</f>
        <v>1293</v>
      </c>
      <c r="G72" s="81">
        <f>SUM(G70:G71)</f>
        <v>1558</v>
      </c>
      <c r="H72" s="81">
        <f>SUM(H70:H71)</f>
        <v>1293</v>
      </c>
      <c r="I72" s="340"/>
      <c r="J72" s="340"/>
      <c r="K72" s="75"/>
      <c r="L72" s="75"/>
    </row>
    <row r="73" spans="1:12" ht="15.75">
      <c r="A73" s="73">
        <v>82.4</v>
      </c>
      <c r="B73" s="74"/>
      <c r="C73" s="75"/>
      <c r="D73" s="83"/>
      <c r="E73" s="83"/>
      <c r="F73" s="83"/>
      <c r="G73" s="83"/>
      <c r="H73" s="83"/>
      <c r="I73" s="75"/>
      <c r="J73" s="75"/>
      <c r="K73" s="75"/>
      <c r="L73" s="75"/>
    </row>
    <row r="74" spans="1:12" s="86" customFormat="1" ht="15.75">
      <c r="A74" s="73">
        <v>83.6</v>
      </c>
      <c r="B74" s="85">
        <v>841403</v>
      </c>
      <c r="C74" s="84" t="s">
        <v>124</v>
      </c>
      <c r="D74" s="81"/>
      <c r="E74" s="81"/>
      <c r="F74" s="81"/>
      <c r="G74" s="81"/>
      <c r="H74" s="81"/>
      <c r="I74" s="84"/>
      <c r="J74" s="84"/>
      <c r="K74" s="84"/>
      <c r="L74" s="84"/>
    </row>
    <row r="75" spans="1:12" s="86" customFormat="1" ht="15.75">
      <c r="A75" s="73">
        <v>84.8</v>
      </c>
      <c r="B75" s="85"/>
      <c r="C75" s="21" t="s">
        <v>625</v>
      </c>
      <c r="D75" s="81">
        <v>801</v>
      </c>
      <c r="E75" s="81">
        <v>801</v>
      </c>
      <c r="F75" s="81">
        <v>743</v>
      </c>
      <c r="G75" s="81">
        <v>1587</v>
      </c>
      <c r="H75" s="81">
        <v>743</v>
      </c>
      <c r="I75" s="84">
        <v>801</v>
      </c>
      <c r="J75" s="84">
        <v>216</v>
      </c>
      <c r="K75" s="84">
        <v>743</v>
      </c>
      <c r="L75" s="84">
        <v>201</v>
      </c>
    </row>
    <row r="76" spans="1:12" s="86" customFormat="1" ht="15.75">
      <c r="A76" s="73">
        <v>86</v>
      </c>
      <c r="B76" s="85"/>
      <c r="C76" s="21" t="s">
        <v>804</v>
      </c>
      <c r="D76" s="81"/>
      <c r="E76" s="81">
        <v>150</v>
      </c>
      <c r="F76" s="81">
        <v>118</v>
      </c>
      <c r="G76" s="81">
        <v>150</v>
      </c>
      <c r="H76" s="81">
        <v>118</v>
      </c>
      <c r="I76" s="84">
        <v>150</v>
      </c>
      <c r="J76" s="84">
        <v>40</v>
      </c>
      <c r="K76" s="84">
        <v>118</v>
      </c>
      <c r="L76" s="84">
        <v>32</v>
      </c>
    </row>
    <row r="77" spans="1:12" s="86" customFormat="1" ht="15.75">
      <c r="A77" s="73">
        <v>87.2</v>
      </c>
      <c r="B77" s="85"/>
      <c r="C77" s="21" t="s">
        <v>847</v>
      </c>
      <c r="D77" s="81"/>
      <c r="E77" s="81"/>
      <c r="F77" s="81"/>
      <c r="G77" s="81">
        <v>220</v>
      </c>
      <c r="H77" s="81"/>
      <c r="I77" s="84"/>
      <c r="J77" s="84"/>
      <c r="K77" s="84"/>
      <c r="L77" s="84"/>
    </row>
    <row r="78" spans="1:12" ht="15.75">
      <c r="A78" s="73">
        <v>88.4</v>
      </c>
      <c r="B78" s="75"/>
      <c r="C78" s="75" t="s">
        <v>262</v>
      </c>
      <c r="D78" s="83">
        <f>SUM(D75:D104)</f>
        <v>801</v>
      </c>
      <c r="E78" s="83">
        <f aca="true" t="shared" si="2" ref="E78:L78">SUM(E75:E76)</f>
        <v>951</v>
      </c>
      <c r="F78" s="83">
        <f t="shared" si="2"/>
        <v>861</v>
      </c>
      <c r="G78" s="83">
        <f>SUM(G75:G77)</f>
        <v>1957</v>
      </c>
      <c r="H78" s="83">
        <f t="shared" si="2"/>
        <v>861</v>
      </c>
      <c r="I78" s="75">
        <f t="shared" si="2"/>
        <v>951</v>
      </c>
      <c r="J78" s="75">
        <f t="shared" si="2"/>
        <v>256</v>
      </c>
      <c r="K78" s="75">
        <f t="shared" si="2"/>
        <v>861</v>
      </c>
      <c r="L78" s="75">
        <f t="shared" si="2"/>
        <v>233</v>
      </c>
    </row>
    <row r="79" spans="1:12" ht="15.75">
      <c r="A79" s="73">
        <v>89.6</v>
      </c>
      <c r="B79" s="75"/>
      <c r="C79" s="79" t="s">
        <v>243</v>
      </c>
      <c r="D79" s="83">
        <f>216</f>
        <v>216</v>
      </c>
      <c r="E79" s="83">
        <f>216+40</f>
        <v>256</v>
      </c>
      <c r="F79" s="83">
        <v>233</v>
      </c>
      <c r="G79" s="83">
        <f>256+60+212</f>
        <v>528</v>
      </c>
      <c r="H79" s="83">
        <v>233</v>
      </c>
      <c r="I79" s="75"/>
      <c r="J79" s="75"/>
      <c r="K79" s="75"/>
      <c r="L79" s="75"/>
    </row>
    <row r="80" spans="1:12" ht="15.75">
      <c r="A80" s="73">
        <v>90.8</v>
      </c>
      <c r="B80" s="75"/>
      <c r="C80" s="79" t="s">
        <v>263</v>
      </c>
      <c r="D80" s="81">
        <f>SUM(D78:D79)</f>
        <v>1017</v>
      </c>
      <c r="E80" s="81">
        <f>SUM(E78:E79)</f>
        <v>1207</v>
      </c>
      <c r="F80" s="81">
        <f>SUM(F78:F79)</f>
        <v>1094</v>
      </c>
      <c r="G80" s="81">
        <f>SUM(G78:G79)</f>
        <v>2485</v>
      </c>
      <c r="H80" s="81">
        <f>SUM(H78:H79)</f>
        <v>1094</v>
      </c>
      <c r="I80" s="75"/>
      <c r="J80" s="75"/>
      <c r="K80" s="75"/>
      <c r="L80" s="75"/>
    </row>
    <row r="81" spans="1:12" ht="15.75">
      <c r="A81" s="73">
        <v>92</v>
      </c>
      <c r="B81" s="75"/>
      <c r="C81" s="84"/>
      <c r="D81" s="81"/>
      <c r="E81" s="81"/>
      <c r="F81" s="81"/>
      <c r="G81" s="81"/>
      <c r="H81" s="81"/>
      <c r="I81" s="75"/>
      <c r="J81" s="75"/>
      <c r="K81" s="75"/>
      <c r="L81" s="75"/>
    </row>
    <row r="82" spans="1:12" ht="15.75">
      <c r="A82" s="73">
        <v>93.2</v>
      </c>
      <c r="B82" s="75"/>
      <c r="C82" s="84" t="s">
        <v>286</v>
      </c>
      <c r="D82" s="81"/>
      <c r="E82" s="81"/>
      <c r="F82" s="81"/>
      <c r="G82" s="81"/>
      <c r="H82" s="81"/>
      <c r="I82" s="75"/>
      <c r="J82" s="75"/>
      <c r="K82" s="75"/>
      <c r="L82" s="75"/>
    </row>
    <row r="83" spans="1:12" ht="15.75">
      <c r="A83" s="73">
        <v>94.4</v>
      </c>
      <c r="B83" s="75">
        <v>562913</v>
      </c>
      <c r="C83" s="21" t="s">
        <v>615</v>
      </c>
      <c r="D83" s="83">
        <v>165</v>
      </c>
      <c r="E83" s="83">
        <v>165</v>
      </c>
      <c r="F83" s="83">
        <v>130</v>
      </c>
      <c r="G83" s="83">
        <v>165</v>
      </c>
      <c r="H83" s="83">
        <v>130</v>
      </c>
      <c r="I83" s="75">
        <v>165</v>
      </c>
      <c r="J83" s="75">
        <v>45</v>
      </c>
      <c r="K83" s="75">
        <f>32+63+35</f>
        <v>130</v>
      </c>
      <c r="L83" s="75">
        <f>17+10+8</f>
        <v>35</v>
      </c>
    </row>
    <row r="84" spans="1:12" ht="15.75">
      <c r="A84" s="73">
        <v>95.6</v>
      </c>
      <c r="B84" s="75"/>
      <c r="C84" s="21" t="s">
        <v>616</v>
      </c>
      <c r="D84" s="83">
        <v>150</v>
      </c>
      <c r="E84" s="83">
        <v>150</v>
      </c>
      <c r="F84" s="83"/>
      <c r="G84" s="83">
        <v>150</v>
      </c>
      <c r="H84" s="83"/>
      <c r="I84" s="75">
        <v>150</v>
      </c>
      <c r="J84" s="75">
        <v>41</v>
      </c>
      <c r="K84" s="75"/>
      <c r="L84" s="75"/>
    </row>
    <row r="85" spans="1:12" s="245" customFormat="1" ht="15.75">
      <c r="A85" s="73">
        <v>96.8</v>
      </c>
      <c r="B85" s="244"/>
      <c r="C85" s="244" t="s">
        <v>770</v>
      </c>
      <c r="D85" s="247">
        <v>79</v>
      </c>
      <c r="E85" s="247">
        <v>79</v>
      </c>
      <c r="F85" s="247">
        <v>71</v>
      </c>
      <c r="G85" s="247">
        <v>79</v>
      </c>
      <c r="H85" s="247">
        <v>71</v>
      </c>
      <c r="I85" s="75">
        <v>79</v>
      </c>
      <c r="J85" s="75">
        <v>21</v>
      </c>
      <c r="K85" s="244">
        <v>71</v>
      </c>
      <c r="L85" s="244">
        <v>19</v>
      </c>
    </row>
    <row r="86" spans="1:12" s="245" customFormat="1" ht="15.75">
      <c r="A86" s="73">
        <v>98</v>
      </c>
      <c r="B86" s="244"/>
      <c r="C86" s="244" t="s">
        <v>818</v>
      </c>
      <c r="D86" s="247">
        <f aca="true" t="shared" si="3" ref="D86:J86">SUM(D83:D85)</f>
        <v>394</v>
      </c>
      <c r="E86" s="247">
        <f t="shared" si="3"/>
        <v>394</v>
      </c>
      <c r="F86" s="247">
        <f t="shared" si="3"/>
        <v>201</v>
      </c>
      <c r="G86" s="247">
        <f t="shared" si="3"/>
        <v>394</v>
      </c>
      <c r="H86" s="247">
        <f t="shared" si="3"/>
        <v>201</v>
      </c>
      <c r="I86" s="75">
        <f t="shared" si="3"/>
        <v>394</v>
      </c>
      <c r="J86" s="75">
        <f t="shared" si="3"/>
        <v>107</v>
      </c>
      <c r="K86" s="244"/>
      <c r="L86" s="244"/>
    </row>
    <row r="87" spans="1:12" ht="15.75">
      <c r="A87" s="73">
        <v>99.2</v>
      </c>
      <c r="B87" s="75"/>
      <c r="C87" s="21" t="s">
        <v>285</v>
      </c>
      <c r="D87" s="83">
        <f>45+41+21</f>
        <v>107</v>
      </c>
      <c r="E87" s="83">
        <f>21+41+45</f>
        <v>107</v>
      </c>
      <c r="F87" s="83">
        <f>35+19</f>
        <v>54</v>
      </c>
      <c r="G87" s="83">
        <v>107</v>
      </c>
      <c r="H87" s="83">
        <v>54</v>
      </c>
      <c r="I87" s="75"/>
      <c r="J87" s="75"/>
      <c r="K87" s="75"/>
      <c r="L87" s="75"/>
    </row>
    <row r="88" spans="1:12" ht="15.75">
      <c r="A88" s="73">
        <v>100.4</v>
      </c>
      <c r="B88" s="75"/>
      <c r="C88" s="84" t="s">
        <v>277</v>
      </c>
      <c r="D88" s="81">
        <f>D86+D87</f>
        <v>501</v>
      </c>
      <c r="E88" s="81">
        <f>E86+E87</f>
        <v>501</v>
      </c>
      <c r="F88" s="81">
        <f>F86+F87</f>
        <v>255</v>
      </c>
      <c r="G88" s="81">
        <f>G86+G87</f>
        <v>501</v>
      </c>
      <c r="H88" s="81">
        <f>H86+H87</f>
        <v>255</v>
      </c>
      <c r="I88" s="75"/>
      <c r="J88" s="75"/>
      <c r="K88" s="75"/>
      <c r="L88" s="75"/>
    </row>
    <row r="89" spans="1:12" ht="15.75">
      <c r="A89" s="73">
        <v>101.6</v>
      </c>
      <c r="B89" s="75"/>
      <c r="C89" s="84"/>
      <c r="D89" s="81"/>
      <c r="E89" s="81"/>
      <c r="F89" s="81"/>
      <c r="G89" s="81"/>
      <c r="H89" s="81"/>
      <c r="I89" s="75"/>
      <c r="J89" s="75"/>
      <c r="K89" s="75"/>
      <c r="L89" s="75"/>
    </row>
    <row r="90" spans="1:12" ht="15.75">
      <c r="A90" s="73">
        <v>102.8</v>
      </c>
      <c r="B90" s="75">
        <v>811000</v>
      </c>
      <c r="C90" s="84" t="s">
        <v>617</v>
      </c>
      <c r="D90" s="81"/>
      <c r="E90" s="81"/>
      <c r="F90" s="81"/>
      <c r="G90" s="81"/>
      <c r="H90" s="81"/>
      <c r="I90" s="75"/>
      <c r="J90" s="75"/>
      <c r="K90" s="75"/>
      <c r="L90" s="75"/>
    </row>
    <row r="91" spans="1:12" ht="15.75">
      <c r="A91" s="73">
        <v>104</v>
      </c>
      <c r="B91" s="75"/>
      <c r="C91" s="21" t="s">
        <v>618</v>
      </c>
      <c r="D91" s="83">
        <v>48</v>
      </c>
      <c r="E91" s="83">
        <v>48</v>
      </c>
      <c r="F91" s="83">
        <v>48</v>
      </c>
      <c r="G91" s="83">
        <v>48</v>
      </c>
      <c r="H91" s="83">
        <v>48</v>
      </c>
      <c r="I91" s="75">
        <v>48</v>
      </c>
      <c r="J91" s="75">
        <v>12</v>
      </c>
      <c r="K91" s="75">
        <v>48</v>
      </c>
      <c r="L91" s="75">
        <v>13</v>
      </c>
    </row>
    <row r="92" spans="1:12" ht="15.75">
      <c r="A92" s="73">
        <v>105.2</v>
      </c>
      <c r="B92" s="75"/>
      <c r="C92" s="21" t="s">
        <v>294</v>
      </c>
      <c r="D92" s="83">
        <v>12</v>
      </c>
      <c r="E92" s="83">
        <v>12</v>
      </c>
      <c r="F92" s="83">
        <v>13</v>
      </c>
      <c r="G92" s="83">
        <v>12</v>
      </c>
      <c r="H92" s="83">
        <v>13</v>
      </c>
      <c r="I92" s="75"/>
      <c r="J92" s="75"/>
      <c r="K92" s="75"/>
      <c r="L92" s="75"/>
    </row>
    <row r="93" spans="1:12" ht="15.75">
      <c r="A93" s="73">
        <v>106.4</v>
      </c>
      <c r="B93" s="75"/>
      <c r="C93" s="84" t="s">
        <v>277</v>
      </c>
      <c r="D93" s="81">
        <f>SUM(D91:D92)</f>
        <v>60</v>
      </c>
      <c r="E93" s="81">
        <f>SUM(E91:E92)</f>
        <v>60</v>
      </c>
      <c r="F93" s="81">
        <f>SUM(F91:F92)</f>
        <v>61</v>
      </c>
      <c r="G93" s="81">
        <f>SUM(G91:G92)</f>
        <v>60</v>
      </c>
      <c r="H93" s="81">
        <f>SUM(H91:H92)</f>
        <v>61</v>
      </c>
      <c r="I93" s="75"/>
      <c r="J93" s="75"/>
      <c r="K93" s="75"/>
      <c r="L93" s="75"/>
    </row>
    <row r="94" spans="1:12" ht="15.75">
      <c r="A94" s="73">
        <v>107.6</v>
      </c>
      <c r="B94" s="75"/>
      <c r="C94" s="79"/>
      <c r="D94" s="81"/>
      <c r="E94" s="81"/>
      <c r="F94" s="81"/>
      <c r="G94" s="81"/>
      <c r="H94" s="81"/>
      <c r="I94" s="75"/>
      <c r="J94" s="75"/>
      <c r="K94" s="75"/>
      <c r="L94" s="75"/>
    </row>
    <row r="95" spans="1:12" ht="15.75">
      <c r="A95" s="73">
        <v>108.8</v>
      </c>
      <c r="B95" s="75">
        <v>813000</v>
      </c>
      <c r="C95" s="79" t="s">
        <v>287</v>
      </c>
      <c r="D95" s="81"/>
      <c r="E95" s="81"/>
      <c r="F95" s="81"/>
      <c r="G95" s="81"/>
      <c r="H95" s="81"/>
      <c r="I95" s="75"/>
      <c r="J95" s="75"/>
      <c r="K95" s="75"/>
      <c r="L95" s="75"/>
    </row>
    <row r="96" spans="1:12" ht="15.75">
      <c r="A96" s="73">
        <v>110</v>
      </c>
      <c r="B96" s="75"/>
      <c r="C96" s="75" t="s">
        <v>619</v>
      </c>
      <c r="D96" s="83">
        <v>372</v>
      </c>
      <c r="E96" s="83">
        <v>372</v>
      </c>
      <c r="F96" s="83">
        <v>357</v>
      </c>
      <c r="G96" s="83">
        <v>372</v>
      </c>
      <c r="H96" s="83">
        <v>357</v>
      </c>
      <c r="I96" s="75">
        <v>372</v>
      </c>
      <c r="J96" s="75">
        <f>49+51</f>
        <v>100</v>
      </c>
      <c r="K96" s="75">
        <v>357</v>
      </c>
      <c r="L96" s="75">
        <f>47+49</f>
        <v>96</v>
      </c>
    </row>
    <row r="97" spans="1:12" ht="15.75">
      <c r="A97" s="73">
        <v>111.2</v>
      </c>
      <c r="B97" s="75"/>
      <c r="C97" s="75" t="s">
        <v>800</v>
      </c>
      <c r="D97" s="83"/>
      <c r="E97" s="83">
        <v>4724</v>
      </c>
      <c r="F97" s="83">
        <v>4724</v>
      </c>
      <c r="G97" s="83">
        <v>4724</v>
      </c>
      <c r="H97" s="83">
        <v>4724</v>
      </c>
      <c r="I97" s="75">
        <v>4724</v>
      </c>
      <c r="J97" s="75">
        <v>1276</v>
      </c>
      <c r="K97" s="75">
        <v>4724</v>
      </c>
      <c r="L97" s="75">
        <v>1276</v>
      </c>
    </row>
    <row r="98" spans="1:12" ht="15.75">
      <c r="A98" s="73">
        <v>112.4</v>
      </c>
      <c r="B98" s="75"/>
      <c r="C98" s="75" t="s">
        <v>628</v>
      </c>
      <c r="D98" s="83">
        <v>443</v>
      </c>
      <c r="E98" s="83">
        <v>443</v>
      </c>
      <c r="F98" s="83">
        <v>520</v>
      </c>
      <c r="G98" s="83">
        <v>976</v>
      </c>
      <c r="H98" s="83">
        <f>520+240+85</f>
        <v>845</v>
      </c>
      <c r="I98" s="75">
        <v>443</v>
      </c>
      <c r="J98" s="75">
        <v>119</v>
      </c>
      <c r="K98" s="75">
        <f>150+234+86+50</f>
        <v>520</v>
      </c>
      <c r="L98" s="75">
        <f>41+63+23+14</f>
        <v>141</v>
      </c>
    </row>
    <row r="99" spans="1:12" ht="18">
      <c r="A99" s="73">
        <v>113.6</v>
      </c>
      <c r="B99" s="75"/>
      <c r="C99" s="21" t="s">
        <v>279</v>
      </c>
      <c r="D99" s="83">
        <f aca="true" t="shared" si="4" ref="D99:L99">SUM(D96:D98)</f>
        <v>815</v>
      </c>
      <c r="E99" s="83">
        <f t="shared" si="4"/>
        <v>5539</v>
      </c>
      <c r="F99" s="83">
        <f t="shared" si="4"/>
        <v>5601</v>
      </c>
      <c r="G99" s="83">
        <f t="shared" si="4"/>
        <v>6072</v>
      </c>
      <c r="H99" s="83">
        <f t="shared" si="4"/>
        <v>5926</v>
      </c>
      <c r="I99" s="342">
        <f t="shared" si="4"/>
        <v>5539</v>
      </c>
      <c r="J99" s="342">
        <f t="shared" si="4"/>
        <v>1495</v>
      </c>
      <c r="K99" s="342">
        <f t="shared" si="4"/>
        <v>5601</v>
      </c>
      <c r="L99" s="342">
        <f t="shared" si="4"/>
        <v>1513</v>
      </c>
    </row>
    <row r="100" spans="1:12" ht="18">
      <c r="A100" s="73">
        <v>114.8</v>
      </c>
      <c r="B100" s="75"/>
      <c r="C100" s="21" t="s">
        <v>285</v>
      </c>
      <c r="D100" s="83">
        <v>219</v>
      </c>
      <c r="E100" s="83">
        <f>1276+100+119</f>
        <v>1495</v>
      </c>
      <c r="F100" s="83">
        <f>1276+96+141</f>
        <v>1513</v>
      </c>
      <c r="G100" s="83">
        <f>1495+144</f>
        <v>1639</v>
      </c>
      <c r="H100" s="83">
        <f>1513+23+65</f>
        <v>1601</v>
      </c>
      <c r="I100" s="342"/>
      <c r="J100" s="342"/>
      <c r="K100" s="75"/>
      <c r="L100" s="75"/>
    </row>
    <row r="101" spans="1:12" ht="18">
      <c r="A101" s="73">
        <v>116</v>
      </c>
      <c r="B101" s="75"/>
      <c r="C101" s="84" t="s">
        <v>277</v>
      </c>
      <c r="D101" s="81">
        <f>SUM(D99:D100)</f>
        <v>1034</v>
      </c>
      <c r="E101" s="81">
        <f>SUM(E99:E100)</f>
        <v>7034</v>
      </c>
      <c r="F101" s="81">
        <f>SUM(F99:F100)</f>
        <v>7114</v>
      </c>
      <c r="G101" s="81">
        <f>SUM(G99:G100)</f>
        <v>7711</v>
      </c>
      <c r="H101" s="81">
        <f>SUM(H99:H100)</f>
        <v>7527</v>
      </c>
      <c r="I101" s="342"/>
      <c r="J101" s="342"/>
      <c r="K101" s="75"/>
      <c r="L101" s="75"/>
    </row>
    <row r="102" spans="1:12" ht="18">
      <c r="A102" s="73">
        <v>117.2</v>
      </c>
      <c r="B102" s="75"/>
      <c r="C102" s="84"/>
      <c r="D102" s="81"/>
      <c r="E102" s="81"/>
      <c r="F102" s="81"/>
      <c r="G102" s="81"/>
      <c r="H102" s="81"/>
      <c r="I102" s="342"/>
      <c r="J102" s="342"/>
      <c r="K102" s="75"/>
      <c r="L102" s="75"/>
    </row>
    <row r="103" spans="1:12" ht="18">
      <c r="A103" s="73">
        <v>118.4</v>
      </c>
      <c r="B103" s="75">
        <v>932911</v>
      </c>
      <c r="C103" s="84" t="s">
        <v>816</v>
      </c>
      <c r="D103" s="81"/>
      <c r="E103" s="81"/>
      <c r="F103" s="81"/>
      <c r="G103" s="81"/>
      <c r="H103" s="81"/>
      <c r="I103" s="342"/>
      <c r="J103" s="342"/>
      <c r="K103" s="75"/>
      <c r="L103" s="75"/>
    </row>
    <row r="104" spans="1:12" ht="15.75">
      <c r="A104" s="73">
        <v>119.6</v>
      </c>
      <c r="B104" s="75"/>
      <c r="C104" s="21" t="s">
        <v>805</v>
      </c>
      <c r="D104" s="81"/>
      <c r="E104" s="81">
        <v>289</v>
      </c>
      <c r="F104" s="81">
        <f>209+39</f>
        <v>248</v>
      </c>
      <c r="G104" s="81">
        <v>289</v>
      </c>
      <c r="H104" s="81">
        <v>248</v>
      </c>
      <c r="I104" s="84">
        <v>289</v>
      </c>
      <c r="J104" s="84">
        <v>78</v>
      </c>
      <c r="K104" s="84">
        <f>209+39</f>
        <v>248</v>
      </c>
      <c r="L104" s="84">
        <f>56+11</f>
        <v>67</v>
      </c>
    </row>
    <row r="105" spans="1:12" ht="18">
      <c r="A105" s="73">
        <v>120.8</v>
      </c>
      <c r="B105" s="75"/>
      <c r="C105" s="84" t="s">
        <v>817</v>
      </c>
      <c r="D105" s="81"/>
      <c r="E105" s="81">
        <v>78</v>
      </c>
      <c r="F105" s="81">
        <f>56+11</f>
        <v>67</v>
      </c>
      <c r="G105" s="81">
        <v>78</v>
      </c>
      <c r="H105" s="81">
        <v>67</v>
      </c>
      <c r="I105" s="342"/>
      <c r="J105" s="342"/>
      <c r="K105" s="75"/>
      <c r="L105" s="75"/>
    </row>
    <row r="106" spans="1:12" ht="18">
      <c r="A106" s="73">
        <v>122</v>
      </c>
      <c r="B106" s="75"/>
      <c r="C106" s="84" t="s">
        <v>335</v>
      </c>
      <c r="D106" s="81"/>
      <c r="E106" s="81">
        <f>SUM(E104:E105)</f>
        <v>367</v>
      </c>
      <c r="F106" s="81">
        <f>SUM(F104:F105)</f>
        <v>315</v>
      </c>
      <c r="G106" s="81">
        <f>SUM(G104:G105)</f>
        <v>367</v>
      </c>
      <c r="H106" s="81">
        <f>SUM(H104:H105)</f>
        <v>315</v>
      </c>
      <c r="I106" s="342"/>
      <c r="J106" s="342"/>
      <c r="K106" s="75"/>
      <c r="L106" s="75"/>
    </row>
    <row r="107" spans="1:12" ht="18">
      <c r="A107" s="73">
        <v>123.2</v>
      </c>
      <c r="B107" s="75">
        <v>910502</v>
      </c>
      <c r="C107" s="84" t="s">
        <v>809</v>
      </c>
      <c r="D107" s="81"/>
      <c r="E107" s="81"/>
      <c r="F107" s="81"/>
      <c r="G107" s="81"/>
      <c r="H107" s="81"/>
      <c r="I107" s="342"/>
      <c r="J107" s="342"/>
      <c r="K107" s="75"/>
      <c r="L107" s="75"/>
    </row>
    <row r="108" spans="1:12" ht="15.75">
      <c r="A108" s="73">
        <v>124.4</v>
      </c>
      <c r="B108" s="75"/>
      <c r="C108" s="75" t="s">
        <v>801</v>
      </c>
      <c r="D108" s="83"/>
      <c r="E108" s="83">
        <v>118</v>
      </c>
      <c r="F108" s="83">
        <v>150</v>
      </c>
      <c r="G108" s="83">
        <v>150</v>
      </c>
      <c r="H108" s="83">
        <v>150</v>
      </c>
      <c r="I108" s="340">
        <v>150</v>
      </c>
      <c r="J108" s="340">
        <v>41</v>
      </c>
      <c r="K108" s="75">
        <v>150</v>
      </c>
      <c r="L108" s="75">
        <v>40</v>
      </c>
    </row>
    <row r="109" spans="1:12" ht="15.75">
      <c r="A109" s="73">
        <v>125.6</v>
      </c>
      <c r="B109" s="75"/>
      <c r="C109" s="75" t="s">
        <v>811</v>
      </c>
      <c r="D109" s="83"/>
      <c r="E109" s="83">
        <v>32</v>
      </c>
      <c r="F109" s="83">
        <v>40</v>
      </c>
      <c r="G109" s="83">
        <v>41</v>
      </c>
      <c r="H109" s="83">
        <v>40</v>
      </c>
      <c r="I109" s="340"/>
      <c r="J109" s="340"/>
      <c r="K109" s="75"/>
      <c r="L109" s="75"/>
    </row>
    <row r="110" spans="1:12" ht="18">
      <c r="A110" s="73">
        <v>126.8</v>
      </c>
      <c r="B110" s="75"/>
      <c r="C110" s="84" t="s">
        <v>810</v>
      </c>
      <c r="D110" s="81"/>
      <c r="E110" s="81">
        <f>SUM(E108:E109)</f>
        <v>150</v>
      </c>
      <c r="F110" s="81">
        <f>SUM(F108:F109)</f>
        <v>190</v>
      </c>
      <c r="G110" s="81">
        <f>SUM(G108:G109)</f>
        <v>191</v>
      </c>
      <c r="H110" s="81">
        <f>SUM(H108:H109)</f>
        <v>190</v>
      </c>
      <c r="I110" s="342"/>
      <c r="J110" s="342"/>
      <c r="K110" s="75"/>
      <c r="L110" s="75"/>
    </row>
    <row r="111" spans="1:12" ht="18">
      <c r="A111" s="73">
        <v>128</v>
      </c>
      <c r="B111" s="75"/>
      <c r="C111" s="84"/>
      <c r="D111" s="81"/>
      <c r="E111" s="81"/>
      <c r="F111" s="81"/>
      <c r="G111" s="81"/>
      <c r="H111" s="81"/>
      <c r="I111" s="342"/>
      <c r="J111" s="342"/>
      <c r="K111" s="75"/>
      <c r="L111" s="75"/>
    </row>
    <row r="112" spans="1:12" ht="18">
      <c r="A112" s="73">
        <v>129.2</v>
      </c>
      <c r="B112" s="75"/>
      <c r="C112" s="84" t="s">
        <v>289</v>
      </c>
      <c r="D112" s="81">
        <f>D99+D91+D86+D78+D61+D62+D64+D108</f>
        <v>3276</v>
      </c>
      <c r="E112" s="81">
        <f>E99+E91+E86+E78+E65+E108+E70+E104</f>
        <v>9944</v>
      </c>
      <c r="F112" s="81">
        <f>F99+F91+F86+F78+F65+F108+F70+F104</f>
        <v>9367</v>
      </c>
      <c r="G112" s="81">
        <f>G99+G91+G86+G78+G65+G108+G70+G104</f>
        <v>11515</v>
      </c>
      <c r="H112" s="81">
        <f>H99+H91+H86+H78+H65+H108+H70+H104</f>
        <v>9726</v>
      </c>
      <c r="I112" s="342">
        <v>9368</v>
      </c>
      <c r="J112" s="342">
        <v>171</v>
      </c>
      <c r="K112" s="75"/>
      <c r="L112" s="75"/>
    </row>
    <row r="113" spans="1:12" ht="18">
      <c r="A113" s="73">
        <v>130.4</v>
      </c>
      <c r="B113" s="75"/>
      <c r="C113" s="84" t="s">
        <v>294</v>
      </c>
      <c r="D113" s="81">
        <f>D100+D92+D87+D79+D66</f>
        <v>927</v>
      </c>
      <c r="E113" s="81">
        <f>E100+E92+E87+E79+E66+E71+E109+E105</f>
        <v>2684</v>
      </c>
      <c r="F113" s="81">
        <f>F100+F92+F87+F79+F66+F71+F109+F105</f>
        <v>2495</v>
      </c>
      <c r="G113" s="81">
        <f>G100+G92+G87+G79+G66+G71+G109+G105</f>
        <v>3109</v>
      </c>
      <c r="H113" s="81">
        <f>H100+H92+H87+H79+H66+H71+H109+H105</f>
        <v>2549</v>
      </c>
      <c r="I113" s="342">
        <v>2494</v>
      </c>
      <c r="J113" s="342">
        <v>73</v>
      </c>
      <c r="K113" s="75"/>
      <c r="L113" s="75"/>
    </row>
    <row r="114" spans="1:12" ht="18">
      <c r="A114" s="73">
        <v>131.6</v>
      </c>
      <c r="B114" s="75"/>
      <c r="C114" s="84" t="s">
        <v>288</v>
      </c>
      <c r="D114" s="81">
        <f>SUM(D112:D113)</f>
        <v>4203</v>
      </c>
      <c r="E114" s="81">
        <f>SUM(E112:E113)</f>
        <v>12628</v>
      </c>
      <c r="F114" s="81">
        <f>SUM(F112:F113)</f>
        <v>11862</v>
      </c>
      <c r="G114" s="81">
        <f>SUM(G112:G113)</f>
        <v>14624</v>
      </c>
      <c r="H114" s="81">
        <f>SUM(H112:H113)</f>
        <v>12275</v>
      </c>
      <c r="I114" s="342"/>
      <c r="J114" s="342"/>
      <c r="K114" s="75"/>
      <c r="L114" s="75"/>
    </row>
    <row r="115" spans="1:12" ht="18">
      <c r="A115" s="73">
        <v>132.8</v>
      </c>
      <c r="B115" s="75"/>
      <c r="C115" s="84"/>
      <c r="D115" s="81"/>
      <c r="E115" s="81">
        <v>12628</v>
      </c>
      <c r="F115" s="81">
        <v>11862</v>
      </c>
      <c r="G115" s="81">
        <v>14624</v>
      </c>
      <c r="H115" s="81">
        <v>12275</v>
      </c>
      <c r="I115" s="342"/>
      <c r="J115" s="342">
        <f>E115-E114</f>
        <v>0</v>
      </c>
      <c r="K115" s="75"/>
      <c r="L115" s="75"/>
    </row>
    <row r="116" spans="1:12" ht="20.25">
      <c r="A116" s="73">
        <v>134</v>
      </c>
      <c r="B116" s="75" t="s">
        <v>342</v>
      </c>
      <c r="C116" s="125" t="s">
        <v>290</v>
      </c>
      <c r="D116" s="81"/>
      <c r="E116" s="81"/>
      <c r="F116" s="81"/>
      <c r="G116" s="81"/>
      <c r="H116" s="81"/>
      <c r="I116" s="343"/>
      <c r="J116" s="343"/>
      <c r="K116" s="75"/>
      <c r="L116" s="75"/>
    </row>
    <row r="117" spans="1:12" ht="15.75">
      <c r="A117" s="73">
        <v>135.2</v>
      </c>
      <c r="B117" s="94"/>
      <c r="C117" s="93"/>
      <c r="D117" s="78"/>
      <c r="E117" s="78"/>
      <c r="F117" s="78"/>
      <c r="G117" s="78"/>
      <c r="H117" s="78"/>
      <c r="I117" s="336"/>
      <c r="J117" s="336"/>
      <c r="K117" s="75"/>
      <c r="L117" s="75"/>
    </row>
    <row r="118" spans="1:12" s="86" customFormat="1" ht="15.75">
      <c r="A118" s="73">
        <v>136.4</v>
      </c>
      <c r="B118" s="95" t="s">
        <v>621</v>
      </c>
      <c r="C118" s="77" t="s">
        <v>617</v>
      </c>
      <c r="D118" s="78"/>
      <c r="E118" s="78"/>
      <c r="F118" s="78"/>
      <c r="G118" s="78"/>
      <c r="H118" s="78"/>
      <c r="I118" s="337"/>
      <c r="J118" s="337"/>
      <c r="K118" s="84"/>
      <c r="L118" s="84"/>
    </row>
    <row r="119" spans="1:12" s="82" customFormat="1" ht="21" customHeight="1">
      <c r="A119" s="73">
        <v>137.6</v>
      </c>
      <c r="B119" s="75"/>
      <c r="C119" s="21" t="s">
        <v>622</v>
      </c>
      <c r="D119" s="83">
        <v>315</v>
      </c>
      <c r="E119" s="83">
        <v>315</v>
      </c>
      <c r="F119" s="83">
        <v>351</v>
      </c>
      <c r="G119" s="83">
        <v>315</v>
      </c>
      <c r="H119" s="83">
        <v>351</v>
      </c>
      <c r="I119" s="79">
        <v>315</v>
      </c>
      <c r="J119" s="79">
        <v>85</v>
      </c>
      <c r="K119" s="79">
        <v>351</v>
      </c>
      <c r="L119" s="79">
        <v>66</v>
      </c>
    </row>
    <row r="120" spans="1:12" s="82" customFormat="1" ht="15.75">
      <c r="A120" s="73">
        <v>138.8</v>
      </c>
      <c r="B120" s="75"/>
      <c r="C120" s="21" t="s">
        <v>243</v>
      </c>
      <c r="D120" s="83">
        <v>85</v>
      </c>
      <c r="E120" s="83">
        <v>85</v>
      </c>
      <c r="F120" s="83">
        <v>66</v>
      </c>
      <c r="G120" s="83">
        <v>85</v>
      </c>
      <c r="H120" s="83">
        <v>66</v>
      </c>
      <c r="I120" s="344"/>
      <c r="J120" s="344"/>
      <c r="K120" s="79"/>
      <c r="L120" s="79"/>
    </row>
    <row r="121" spans="1:12" s="82" customFormat="1" ht="15.75">
      <c r="A121" s="73">
        <v>140</v>
      </c>
      <c r="B121" s="75"/>
      <c r="C121" s="84" t="s">
        <v>213</v>
      </c>
      <c r="D121" s="81">
        <f>SUM(D119:D120)</f>
        <v>400</v>
      </c>
      <c r="E121" s="81">
        <f>SUM(E119:E120)</f>
        <v>400</v>
      </c>
      <c r="F121" s="81">
        <f>SUM(F119:F120)</f>
        <v>417</v>
      </c>
      <c r="G121" s="81">
        <f>SUM(G119:G120)</f>
        <v>400</v>
      </c>
      <c r="H121" s="81">
        <f>SUM(H119:H120)</f>
        <v>417</v>
      </c>
      <c r="I121" s="344"/>
      <c r="J121" s="344"/>
      <c r="K121" s="79"/>
      <c r="L121" s="79"/>
    </row>
    <row r="122" spans="1:12" s="82" customFormat="1" ht="15.75">
      <c r="A122" s="73">
        <v>141.2</v>
      </c>
      <c r="B122" s="75"/>
      <c r="C122" s="84"/>
      <c r="D122" s="81"/>
      <c r="E122" s="81"/>
      <c r="F122" s="81"/>
      <c r="G122" s="81"/>
      <c r="H122" s="81"/>
      <c r="I122" s="344"/>
      <c r="J122" s="344"/>
      <c r="K122" s="79"/>
      <c r="L122" s="79"/>
    </row>
    <row r="123" spans="1:12" s="82" customFormat="1" ht="15.75">
      <c r="A123" s="73">
        <v>142.4</v>
      </c>
      <c r="B123" s="75">
        <v>841403</v>
      </c>
      <c r="C123" s="84" t="s">
        <v>626</v>
      </c>
      <c r="D123" s="81">
        <v>237</v>
      </c>
      <c r="E123" s="81">
        <v>237</v>
      </c>
      <c r="F123" s="81">
        <v>272</v>
      </c>
      <c r="G123" s="81">
        <v>237</v>
      </c>
      <c r="H123" s="81">
        <v>272</v>
      </c>
      <c r="I123" s="79">
        <v>237</v>
      </c>
      <c r="J123" s="79">
        <v>85</v>
      </c>
      <c r="K123" s="79">
        <v>272</v>
      </c>
      <c r="L123" s="79">
        <v>73</v>
      </c>
    </row>
    <row r="124" spans="1:12" s="82" customFormat="1" ht="15.75">
      <c r="A124" s="73">
        <v>143.6</v>
      </c>
      <c r="B124" s="75"/>
      <c r="C124" s="84" t="s">
        <v>259</v>
      </c>
      <c r="D124" s="81">
        <v>83</v>
      </c>
      <c r="E124" s="81">
        <v>83</v>
      </c>
      <c r="F124" s="81">
        <v>73</v>
      </c>
      <c r="G124" s="81">
        <v>83</v>
      </c>
      <c r="H124" s="81">
        <v>73</v>
      </c>
      <c r="I124" s="79"/>
      <c r="J124" s="79"/>
      <c r="K124" s="79"/>
      <c r="L124" s="79"/>
    </row>
    <row r="125" spans="1:12" s="82" customFormat="1" ht="15.75">
      <c r="A125" s="73">
        <v>144.8</v>
      </c>
      <c r="B125" s="75"/>
      <c r="C125" s="84" t="s">
        <v>627</v>
      </c>
      <c r="D125" s="81">
        <f>SUM(D123:D124)</f>
        <v>320</v>
      </c>
      <c r="E125" s="81">
        <f>SUM(E123:E124)</f>
        <v>320</v>
      </c>
      <c r="F125" s="81">
        <f>SUM(F123:F124)</f>
        <v>345</v>
      </c>
      <c r="G125" s="81">
        <f>SUM(G123:G124)</f>
        <v>320</v>
      </c>
      <c r="H125" s="81">
        <f>SUM(H123:H124)</f>
        <v>345</v>
      </c>
      <c r="I125" s="79"/>
      <c r="J125" s="79"/>
      <c r="K125" s="79"/>
      <c r="L125" s="79"/>
    </row>
    <row r="126" spans="1:12" s="82" customFormat="1" ht="15.75">
      <c r="A126" s="73">
        <v>146</v>
      </c>
      <c r="B126" s="75"/>
      <c r="C126" s="84"/>
      <c r="D126" s="81"/>
      <c r="E126" s="81"/>
      <c r="F126" s="81"/>
      <c r="G126" s="81"/>
      <c r="H126" s="81"/>
      <c r="I126" s="79"/>
      <c r="J126" s="79"/>
      <c r="K126" s="79"/>
      <c r="L126" s="79"/>
    </row>
    <row r="127" spans="1:12" s="82" customFormat="1" ht="15.75">
      <c r="A127" s="73">
        <v>147.2</v>
      </c>
      <c r="B127" s="75">
        <v>841403</v>
      </c>
      <c r="C127" s="84" t="s">
        <v>806</v>
      </c>
      <c r="D127" s="81"/>
      <c r="E127" s="81">
        <v>739</v>
      </c>
      <c r="F127" s="81">
        <v>48</v>
      </c>
      <c r="G127" s="81">
        <v>739</v>
      </c>
      <c r="H127" s="81">
        <v>74</v>
      </c>
      <c r="I127" s="79">
        <v>739</v>
      </c>
      <c r="J127" s="79">
        <v>200</v>
      </c>
      <c r="K127" s="79">
        <v>48</v>
      </c>
      <c r="L127" s="79">
        <v>13</v>
      </c>
    </row>
    <row r="128" spans="1:12" s="82" customFormat="1" ht="15.75">
      <c r="A128" s="73">
        <v>148.4</v>
      </c>
      <c r="B128" s="75"/>
      <c r="C128" s="84" t="s">
        <v>807</v>
      </c>
      <c r="D128" s="81"/>
      <c r="E128" s="81">
        <v>200</v>
      </c>
      <c r="F128" s="81">
        <v>13</v>
      </c>
      <c r="G128" s="81">
        <v>200</v>
      </c>
      <c r="H128" s="81">
        <v>20</v>
      </c>
      <c r="I128" s="79"/>
      <c r="J128" s="79"/>
      <c r="K128" s="79"/>
      <c r="L128" s="79"/>
    </row>
    <row r="129" spans="1:12" s="82" customFormat="1" ht="15.75">
      <c r="A129" s="73">
        <v>149.6</v>
      </c>
      <c r="B129" s="75"/>
      <c r="C129" s="84" t="s">
        <v>808</v>
      </c>
      <c r="D129" s="81"/>
      <c r="E129" s="81">
        <f>SUM(E127:E128)</f>
        <v>939</v>
      </c>
      <c r="F129" s="81">
        <f>SUM(F127:F128)</f>
        <v>61</v>
      </c>
      <c r="G129" s="81">
        <f>SUM(G127:G128)</f>
        <v>939</v>
      </c>
      <c r="H129" s="81">
        <f>SUM(H127:H128)</f>
        <v>94</v>
      </c>
      <c r="I129" s="79"/>
      <c r="J129" s="79"/>
      <c r="K129" s="79"/>
      <c r="L129" s="79"/>
    </row>
    <row r="130" spans="1:12" s="82" customFormat="1" ht="15.75">
      <c r="A130" s="73">
        <v>150.8</v>
      </c>
      <c r="B130" s="75"/>
      <c r="C130" s="84"/>
      <c r="D130" s="81"/>
      <c r="E130" s="81"/>
      <c r="F130" s="81"/>
      <c r="G130" s="81"/>
      <c r="H130" s="81"/>
      <c r="I130" s="79"/>
      <c r="J130" s="79"/>
      <c r="K130" s="79"/>
      <c r="L130" s="79"/>
    </row>
    <row r="131" spans="1:12" s="86" customFormat="1" ht="15.75">
      <c r="A131" s="73">
        <v>152</v>
      </c>
      <c r="B131" s="75"/>
      <c r="C131" s="75"/>
      <c r="D131" s="83"/>
      <c r="E131" s="83"/>
      <c r="F131" s="83"/>
      <c r="G131" s="83"/>
      <c r="H131" s="83"/>
      <c r="I131" s="79"/>
      <c r="J131" s="79"/>
      <c r="K131" s="84"/>
      <c r="L131" s="84"/>
    </row>
    <row r="132" spans="1:12" s="86" customFormat="1" ht="15.75">
      <c r="A132" s="73">
        <v>153.2</v>
      </c>
      <c r="B132" s="52">
        <v>960302</v>
      </c>
      <c r="C132" s="84" t="s">
        <v>260</v>
      </c>
      <c r="D132" s="81"/>
      <c r="E132" s="81"/>
      <c r="F132" s="81"/>
      <c r="G132" s="81"/>
      <c r="H132" s="81"/>
      <c r="I132" s="79"/>
      <c r="J132" s="79"/>
      <c r="K132" s="84"/>
      <c r="L132" s="84"/>
    </row>
    <row r="133" spans="1:12" ht="15.75">
      <c r="A133" s="73">
        <v>154.4</v>
      </c>
      <c r="B133" s="75"/>
      <c r="C133" s="21" t="s">
        <v>620</v>
      </c>
      <c r="D133" s="83">
        <v>607</v>
      </c>
      <c r="E133" s="83">
        <v>607</v>
      </c>
      <c r="F133" s="83">
        <v>107</v>
      </c>
      <c r="G133" s="83">
        <v>607</v>
      </c>
      <c r="H133" s="83">
        <f>107+266</f>
        <v>373</v>
      </c>
      <c r="I133" s="75">
        <v>607</v>
      </c>
      <c r="J133" s="75">
        <v>164</v>
      </c>
      <c r="K133" s="75">
        <v>107</v>
      </c>
      <c r="L133" s="75">
        <v>29</v>
      </c>
    </row>
    <row r="134" spans="1:12" ht="15.75">
      <c r="A134" s="73">
        <v>155.6</v>
      </c>
      <c r="B134" s="75"/>
      <c r="C134" s="75" t="s">
        <v>243</v>
      </c>
      <c r="D134" s="83">
        <v>164</v>
      </c>
      <c r="E134" s="83">
        <v>164</v>
      </c>
      <c r="F134" s="83">
        <v>29</v>
      </c>
      <c r="G134" s="83">
        <v>164</v>
      </c>
      <c r="H134" s="83">
        <f>29+72</f>
        <v>101</v>
      </c>
      <c r="I134" s="75"/>
      <c r="J134" s="75"/>
      <c r="K134" s="75"/>
      <c r="L134" s="75"/>
    </row>
    <row r="135" spans="1:12" ht="15.75">
      <c r="A135" s="73">
        <v>156.8</v>
      </c>
      <c r="B135" s="75"/>
      <c r="C135" s="79" t="s">
        <v>213</v>
      </c>
      <c r="D135" s="81">
        <f>SUM(D133:D134)</f>
        <v>771</v>
      </c>
      <c r="E135" s="81">
        <f>SUM(E133:E134)</f>
        <v>771</v>
      </c>
      <c r="F135" s="81">
        <f>SUM(F133:F134)</f>
        <v>136</v>
      </c>
      <c r="G135" s="81">
        <f>SUM(G133:G134)</f>
        <v>771</v>
      </c>
      <c r="H135" s="81">
        <f>SUM(H133:H134)</f>
        <v>474</v>
      </c>
      <c r="I135" s="336"/>
      <c r="J135" s="336"/>
      <c r="K135" s="75"/>
      <c r="L135" s="75"/>
    </row>
    <row r="136" spans="1:12" ht="15.75">
      <c r="A136" s="73">
        <v>158</v>
      </c>
      <c r="B136" s="75"/>
      <c r="C136" s="79"/>
      <c r="D136" s="83"/>
      <c r="E136" s="83"/>
      <c r="F136" s="83"/>
      <c r="G136" s="83"/>
      <c r="H136" s="83"/>
      <c r="I136" s="336"/>
      <c r="J136" s="336"/>
      <c r="K136" s="75"/>
      <c r="L136" s="75"/>
    </row>
    <row r="137" spans="1:12" ht="15.75">
      <c r="A137" s="73">
        <v>159.2</v>
      </c>
      <c r="B137" s="79"/>
      <c r="C137" s="79" t="s">
        <v>291</v>
      </c>
      <c r="D137" s="81">
        <f>D133+D123+D119</f>
        <v>1159</v>
      </c>
      <c r="E137" s="81">
        <f>E133+E123+E119+E127</f>
        <v>1898</v>
      </c>
      <c r="F137" s="81">
        <f>F133+F123+F119</f>
        <v>730</v>
      </c>
      <c r="G137" s="81">
        <f>G133+G123+G119</f>
        <v>1159</v>
      </c>
      <c r="H137" s="81">
        <f>H133+H123+H119</f>
        <v>996</v>
      </c>
      <c r="I137" s="336"/>
      <c r="J137" s="336"/>
      <c r="K137" s="75"/>
      <c r="L137" s="75"/>
    </row>
    <row r="138" spans="1:12" ht="15.75">
      <c r="A138" s="73">
        <v>160.4</v>
      </c>
      <c r="B138" s="75"/>
      <c r="C138" s="79" t="s">
        <v>259</v>
      </c>
      <c r="D138" s="81">
        <f>D134+D124+D120</f>
        <v>332</v>
      </c>
      <c r="E138" s="81">
        <f>E134+E124+E120+E128</f>
        <v>532</v>
      </c>
      <c r="F138" s="81">
        <f>F134+F124+F120+F129</f>
        <v>229</v>
      </c>
      <c r="G138" s="81">
        <f>G134+G124+G120+G129</f>
        <v>1271</v>
      </c>
      <c r="H138" s="81">
        <f>H134+H124+H120+H129</f>
        <v>334</v>
      </c>
      <c r="I138" s="336"/>
      <c r="J138" s="336"/>
      <c r="K138" s="75"/>
      <c r="L138" s="75"/>
    </row>
    <row r="139" spans="1:12" ht="15.75">
      <c r="A139" s="73">
        <v>161.6</v>
      </c>
      <c r="B139" s="75"/>
      <c r="C139" s="84" t="s">
        <v>292</v>
      </c>
      <c r="D139" s="81">
        <f>SUM(D137:D138)</f>
        <v>1491</v>
      </c>
      <c r="E139" s="81">
        <f>SUM(E137:E138)</f>
        <v>2430</v>
      </c>
      <c r="F139" s="81">
        <f>SUM(F137:F138)</f>
        <v>959</v>
      </c>
      <c r="G139" s="81">
        <f>SUM(G137:G138)</f>
        <v>2430</v>
      </c>
      <c r="H139" s="81">
        <f>SUM(H137:H138)</f>
        <v>1330</v>
      </c>
      <c r="I139" s="336"/>
      <c r="J139" s="336"/>
      <c r="K139" s="75"/>
      <c r="L139" s="75"/>
    </row>
    <row r="140" spans="1:12" ht="15.75">
      <c r="A140" s="73">
        <v>162.8</v>
      </c>
      <c r="B140" s="75"/>
      <c r="C140" s="75"/>
      <c r="D140" s="83"/>
      <c r="E140" s="83">
        <v>2430</v>
      </c>
      <c r="F140" s="83">
        <v>959</v>
      </c>
      <c r="G140" s="83">
        <v>2430</v>
      </c>
      <c r="H140" s="83">
        <v>1330</v>
      </c>
      <c r="I140" s="336"/>
      <c r="J140" s="336"/>
      <c r="K140" s="75"/>
      <c r="L140" s="75"/>
    </row>
    <row r="141" spans="1:12" ht="15.75">
      <c r="A141" s="73">
        <v>164</v>
      </c>
      <c r="B141" s="75"/>
      <c r="C141" s="84" t="s">
        <v>293</v>
      </c>
      <c r="D141" s="81">
        <f>D139+D114+D57</f>
        <v>8194</v>
      </c>
      <c r="E141" s="81">
        <f>E139+E114+E57</f>
        <v>17558</v>
      </c>
      <c r="F141" s="81">
        <f>F139+F114+F57</f>
        <v>12863</v>
      </c>
      <c r="G141" s="81">
        <f>G139+G114+G57</f>
        <v>19554</v>
      </c>
      <c r="H141" s="81">
        <f>H139+H114+H57</f>
        <v>13647</v>
      </c>
      <c r="I141" s="336"/>
      <c r="J141" s="336"/>
      <c r="K141" s="75"/>
      <c r="L141" s="75"/>
    </row>
    <row r="142" spans="1:12" ht="15.75">
      <c r="A142" s="73">
        <v>165.2</v>
      </c>
      <c r="B142" s="75"/>
      <c r="C142" s="75"/>
      <c r="D142" s="83"/>
      <c r="E142" s="83"/>
      <c r="F142" s="83"/>
      <c r="G142" s="83"/>
      <c r="H142" s="83"/>
      <c r="I142" s="336"/>
      <c r="J142" s="336"/>
      <c r="K142" s="75"/>
      <c r="L142" s="75"/>
    </row>
    <row r="143" spans="1:12" ht="15.75">
      <c r="A143" s="73">
        <v>166.4</v>
      </c>
      <c r="B143" s="75"/>
      <c r="C143" s="84" t="s">
        <v>296</v>
      </c>
      <c r="D143" s="81"/>
      <c r="E143" s="81"/>
      <c r="F143" s="81"/>
      <c r="G143" s="81"/>
      <c r="H143" s="81"/>
      <c r="I143" s="336"/>
      <c r="J143" s="336"/>
      <c r="K143" s="75"/>
      <c r="L143" s="75"/>
    </row>
    <row r="144" spans="1:12" s="82" customFormat="1" ht="15.75">
      <c r="A144" s="73">
        <v>167.6</v>
      </c>
      <c r="B144" s="75"/>
      <c r="C144" s="84" t="s">
        <v>156</v>
      </c>
      <c r="D144" s="81">
        <f>D57+D10</f>
        <v>4500</v>
      </c>
      <c r="E144" s="81">
        <f>E57+E10</f>
        <v>4500</v>
      </c>
      <c r="F144" s="81">
        <f>F57+F10</f>
        <v>542</v>
      </c>
      <c r="G144" s="81">
        <f>G57+G10</f>
        <v>4500</v>
      </c>
      <c r="H144" s="81">
        <f>H57+H10</f>
        <v>1542</v>
      </c>
      <c r="I144" s="344">
        <f>'7.K.Részletező2'!AZ119</f>
        <v>4500</v>
      </c>
      <c r="J144" s="344"/>
      <c r="K144" s="79"/>
      <c r="L144" s="79"/>
    </row>
    <row r="145" spans="1:12" s="82" customFormat="1" ht="15.75">
      <c r="A145" s="73">
        <v>168.8</v>
      </c>
      <c r="B145" s="75"/>
      <c r="C145" s="84" t="s">
        <v>264</v>
      </c>
      <c r="D145" s="81">
        <f>D114+D26+D48</f>
        <v>13691</v>
      </c>
      <c r="E145" s="81">
        <f>E114+E26+E48</f>
        <v>38055</v>
      </c>
      <c r="F145" s="81">
        <f>F114+F26+F48</f>
        <v>14667</v>
      </c>
      <c r="G145" s="81">
        <f>G114+G26+G48</f>
        <v>36121</v>
      </c>
      <c r="H145" s="81">
        <f>H114+H26+H48</f>
        <v>20060</v>
      </c>
      <c r="I145" s="344">
        <f>'7.K.Részletező2'!AZ111</f>
        <v>36121</v>
      </c>
      <c r="J145" s="344"/>
      <c r="K145" s="79"/>
      <c r="L145" s="79"/>
    </row>
    <row r="146" spans="1:12" ht="15.75">
      <c r="A146" s="73">
        <v>170</v>
      </c>
      <c r="B146" s="75"/>
      <c r="C146" s="84" t="s">
        <v>297</v>
      </c>
      <c r="D146" s="81">
        <f>D139+D40+D52</f>
        <v>37540</v>
      </c>
      <c r="E146" s="81">
        <f>E139+E40+E52</f>
        <v>51999</v>
      </c>
      <c r="F146" s="81">
        <f>F139+F40+F52</f>
        <v>25026</v>
      </c>
      <c r="G146" s="81">
        <f>G139+G40+G52</f>
        <v>53849</v>
      </c>
      <c r="H146" s="81">
        <f>H139+H40+H52</f>
        <v>37518</v>
      </c>
      <c r="I146" s="336">
        <f>'7.K.Részletező2'!AZ116</f>
        <v>53849</v>
      </c>
      <c r="J146" s="336"/>
      <c r="K146" s="75"/>
      <c r="L146" s="75"/>
    </row>
    <row r="147" spans="1:12" ht="15.75">
      <c r="A147" s="73">
        <v>171.2</v>
      </c>
      <c r="B147" s="75"/>
      <c r="C147" s="84" t="s">
        <v>295</v>
      </c>
      <c r="D147" s="81">
        <f>SUM(D144:D146)</f>
        <v>55731</v>
      </c>
      <c r="E147" s="81">
        <f>SUM(E144:E146)</f>
        <v>94554</v>
      </c>
      <c r="F147" s="81">
        <f>SUM(F144:F146)</f>
        <v>40235</v>
      </c>
      <c r="G147" s="81">
        <f>SUM(G144:G146)</f>
        <v>94470</v>
      </c>
      <c r="H147" s="81">
        <f>SUM(H144:H146)</f>
        <v>59120</v>
      </c>
      <c r="I147" s="336">
        <f>'7.K.Részletező2'!AZ120</f>
        <v>94470</v>
      </c>
      <c r="J147" s="336"/>
      <c r="K147" s="75"/>
      <c r="L147" s="75"/>
    </row>
    <row r="148" spans="1:8" ht="15.75">
      <c r="A148" s="126"/>
      <c r="B148" s="97"/>
      <c r="C148" s="97"/>
      <c r="D148" s="96"/>
      <c r="E148" s="96"/>
      <c r="F148" s="96"/>
      <c r="G148" s="96"/>
      <c r="H148" s="96"/>
    </row>
    <row r="149" spans="1:8" ht="15.75">
      <c r="A149" s="126"/>
      <c r="B149" s="97"/>
      <c r="C149" s="97"/>
      <c r="D149" s="96"/>
      <c r="E149" s="96"/>
      <c r="F149" s="96"/>
      <c r="G149" s="96"/>
      <c r="H149" s="96"/>
    </row>
    <row r="150" spans="1:8" ht="15.75">
      <c r="A150" s="126"/>
      <c r="B150" s="97"/>
      <c r="C150" s="97"/>
      <c r="D150" s="96"/>
      <c r="E150" s="96"/>
      <c r="F150" s="96"/>
      <c r="G150" s="96"/>
      <c r="H150" s="96"/>
    </row>
    <row r="157" spans="1:10" s="82" customFormat="1" ht="15.75">
      <c r="A157" s="71"/>
      <c r="B157" s="70"/>
      <c r="C157" s="70"/>
      <c r="D157" s="69"/>
      <c r="E157" s="69"/>
      <c r="F157" s="69"/>
      <c r="G157" s="69"/>
      <c r="H157" s="69"/>
      <c r="I157" s="250"/>
      <c r="J157" s="250"/>
    </row>
  </sheetData>
  <sheetProtection/>
  <mergeCells count="3">
    <mergeCell ref="A1:C1"/>
    <mergeCell ref="B2:D2"/>
    <mergeCell ref="I6:J6"/>
  </mergeCells>
  <printOptions/>
  <pageMargins left="0.7" right="0.7" top="0.75" bottom="0.75" header="0.3" footer="0.3"/>
  <pageSetup horizontalDpi="300" verticalDpi="300" orientation="portrait" paperSize="9" scale="53" r:id="rId1"/>
  <rowBreaks count="2" manualBreakCount="2">
    <brk id="52" max="255" man="1"/>
    <brk id="93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H30"/>
  <sheetViews>
    <sheetView view="pageBreakPreview" zoomScale="60" zoomScalePageLayoutView="0" workbookViewId="0" topLeftCell="A1">
      <selection activeCell="N23" sqref="N23"/>
    </sheetView>
  </sheetViews>
  <sheetFormatPr defaultColWidth="9.140625" defaultRowHeight="15"/>
  <cols>
    <col min="1" max="1" width="9.140625" style="71" customWidth="1"/>
    <col min="2" max="2" width="37.140625" style="70" customWidth="1"/>
    <col min="3" max="3" width="9.421875" style="70" customWidth="1"/>
    <col min="4" max="4" width="8.7109375" style="70" customWidth="1"/>
    <col min="5" max="6" width="10.140625" style="70" customWidth="1"/>
    <col min="7" max="7" width="9.7109375" style="70" customWidth="1"/>
    <col min="8" max="8" width="10.8515625" style="70" customWidth="1"/>
    <col min="9" max="16384" width="9.140625" style="70" customWidth="1"/>
  </cols>
  <sheetData>
    <row r="1" spans="1:4" ht="15.75">
      <c r="A1" s="382" t="s">
        <v>859</v>
      </c>
      <c r="B1" s="382"/>
      <c r="C1" s="377"/>
      <c r="D1" s="377"/>
    </row>
    <row r="3" spans="2:7" ht="15.75">
      <c r="B3" s="380" t="s">
        <v>533</v>
      </c>
      <c r="C3" s="380"/>
      <c r="D3" s="380"/>
      <c r="E3" s="380"/>
      <c r="F3" s="380"/>
      <c r="G3" s="380"/>
    </row>
    <row r="4" spans="2:7" ht="15.75">
      <c r="B4" s="72"/>
      <c r="C4" s="72"/>
      <c r="D4" s="72"/>
      <c r="E4" s="72"/>
      <c r="F4" s="72"/>
      <c r="G4" s="72"/>
    </row>
    <row r="5" spans="1:8" s="71" customFormat="1" ht="33" customHeight="1">
      <c r="A5" s="73"/>
      <c r="B5" s="73" t="s">
        <v>27</v>
      </c>
      <c r="C5" s="73" t="s">
        <v>28</v>
      </c>
      <c r="D5" s="73" t="s">
        <v>29</v>
      </c>
      <c r="E5" s="73" t="s">
        <v>30</v>
      </c>
      <c r="F5" s="73" t="s">
        <v>31</v>
      </c>
      <c r="G5" s="73" t="s">
        <v>105</v>
      </c>
      <c r="H5" s="73" t="s">
        <v>60</v>
      </c>
    </row>
    <row r="6" spans="1:8" ht="15.75" hidden="1">
      <c r="A6" s="73"/>
      <c r="B6" s="75"/>
      <c r="C6" s="75"/>
      <c r="D6" s="75"/>
      <c r="E6" s="75"/>
      <c r="F6" s="75"/>
      <c r="G6" s="75"/>
      <c r="H6" s="75"/>
    </row>
    <row r="7" spans="1:8" ht="1.5" customHeight="1" hidden="1">
      <c r="A7" s="73"/>
      <c r="B7" s="75"/>
      <c r="C7" s="75"/>
      <c r="D7" s="75"/>
      <c r="E7" s="75"/>
      <c r="F7" s="75"/>
      <c r="G7" s="75"/>
      <c r="H7" s="75"/>
    </row>
    <row r="8" spans="1:8" ht="6" customHeight="1" hidden="1">
      <c r="A8" s="73"/>
      <c r="B8" s="75"/>
      <c r="C8" s="75"/>
      <c r="D8" s="75"/>
      <c r="E8" s="75"/>
      <c r="F8" s="75"/>
      <c r="G8" s="75"/>
      <c r="H8" s="75"/>
    </row>
    <row r="9" spans="1:8" s="82" customFormat="1" ht="61.5" customHeight="1">
      <c r="A9" s="73">
        <v>1</v>
      </c>
      <c r="B9" s="79" t="s">
        <v>78</v>
      </c>
      <c r="C9" s="87" t="s">
        <v>244</v>
      </c>
      <c r="D9" s="87" t="s">
        <v>245</v>
      </c>
      <c r="E9" s="87" t="s">
        <v>246</v>
      </c>
      <c r="F9" s="88" t="s">
        <v>247</v>
      </c>
      <c r="G9" s="87" t="s">
        <v>248</v>
      </c>
      <c r="H9" s="89" t="s">
        <v>219</v>
      </c>
    </row>
    <row r="10" spans="1:8" ht="33.75" customHeight="1">
      <c r="A10" s="73">
        <v>2</v>
      </c>
      <c r="B10" s="75"/>
      <c r="C10" s="90" t="s">
        <v>766</v>
      </c>
      <c r="D10" s="90" t="s">
        <v>766</v>
      </c>
      <c r="E10" s="90" t="s">
        <v>766</v>
      </c>
      <c r="F10" s="91" t="s">
        <v>766</v>
      </c>
      <c r="G10" s="90" t="s">
        <v>766</v>
      </c>
      <c r="H10" s="92" t="s">
        <v>766</v>
      </c>
    </row>
    <row r="11" spans="1:8" s="82" customFormat="1" ht="15.75">
      <c r="A11" s="73">
        <v>3</v>
      </c>
      <c r="B11" s="79" t="s">
        <v>768</v>
      </c>
      <c r="C11" s="79"/>
      <c r="D11" s="79">
        <v>10</v>
      </c>
      <c r="E11" s="79"/>
      <c r="F11" s="84">
        <f>SUM(C11:E11)</f>
        <v>10</v>
      </c>
      <c r="G11" s="79"/>
      <c r="H11" s="75">
        <f>SUM(F11:G11)</f>
        <v>10</v>
      </c>
    </row>
    <row r="12" spans="1:8" s="82" customFormat="1" ht="15.75">
      <c r="A12" s="73">
        <v>4</v>
      </c>
      <c r="B12" s="82" t="s">
        <v>767</v>
      </c>
      <c r="C12" s="79"/>
      <c r="D12" s="79">
        <v>1</v>
      </c>
      <c r="E12" s="79"/>
      <c r="F12" s="84">
        <f>SUM(C12:E12)</f>
        <v>1</v>
      </c>
      <c r="G12" s="79"/>
      <c r="H12" s="75">
        <f>SUM(F12:G12)</f>
        <v>1</v>
      </c>
    </row>
    <row r="13" spans="1:8" s="82" customFormat="1" ht="15.75">
      <c r="A13" s="73">
        <v>5</v>
      </c>
      <c r="B13" s="79" t="s">
        <v>769</v>
      </c>
      <c r="C13" s="79"/>
      <c r="D13" s="79">
        <f>SUM(D11:D12)</f>
        <v>11</v>
      </c>
      <c r="E13" s="79"/>
      <c r="F13" s="84">
        <f>SUM(F11:F12)</f>
        <v>11</v>
      </c>
      <c r="G13" s="79"/>
      <c r="H13" s="75">
        <f>SUM(H11:H12)</f>
        <v>11</v>
      </c>
    </row>
    <row r="14" spans="1:8" ht="15.75">
      <c r="A14" s="73">
        <v>6</v>
      </c>
      <c r="B14" s="79" t="s">
        <v>44</v>
      </c>
      <c r="C14" s="75"/>
      <c r="D14" s="75"/>
      <c r="E14" s="75"/>
      <c r="F14" s="84"/>
      <c r="G14" s="75"/>
      <c r="H14" s="75"/>
    </row>
    <row r="15" spans="1:8" ht="15.75">
      <c r="A15" s="73">
        <v>7</v>
      </c>
      <c r="B15" s="75" t="s">
        <v>249</v>
      </c>
      <c r="C15" s="75"/>
      <c r="D15" s="75">
        <v>1</v>
      </c>
      <c r="E15" s="75"/>
      <c r="F15" s="84">
        <f aca="true" t="shared" si="0" ref="F15:F25">SUM(C15:E15)</f>
        <v>1</v>
      </c>
      <c r="G15" s="75"/>
      <c r="H15" s="75">
        <f>SUM(F15:G15)</f>
        <v>1</v>
      </c>
    </row>
    <row r="16" spans="1:8" ht="15.75">
      <c r="A16" s="73">
        <v>8</v>
      </c>
      <c r="B16" s="75" t="s">
        <v>250</v>
      </c>
      <c r="C16" s="75"/>
      <c r="D16" s="75">
        <v>1</v>
      </c>
      <c r="E16" s="75"/>
      <c r="F16" s="84">
        <f t="shared" si="0"/>
        <v>1</v>
      </c>
      <c r="G16" s="75"/>
      <c r="H16" s="75">
        <f aca="true" t="shared" si="1" ref="H16:H25">SUM(F16:G16)</f>
        <v>1</v>
      </c>
    </row>
    <row r="17" spans="1:8" ht="15.75">
      <c r="A17" s="73">
        <v>9</v>
      </c>
      <c r="B17" s="75" t="s">
        <v>183</v>
      </c>
      <c r="C17" s="75"/>
      <c r="D17" s="75">
        <v>1</v>
      </c>
      <c r="E17" s="75"/>
      <c r="F17" s="84">
        <f t="shared" si="0"/>
        <v>1</v>
      </c>
      <c r="G17" s="75"/>
      <c r="H17" s="75">
        <f t="shared" si="1"/>
        <v>1</v>
      </c>
    </row>
    <row r="18" spans="1:8" ht="15.75">
      <c r="A18" s="73">
        <v>10</v>
      </c>
      <c r="B18" s="75" t="s">
        <v>251</v>
      </c>
      <c r="C18" s="75"/>
      <c r="D18" s="75"/>
      <c r="E18" s="75">
        <v>1</v>
      </c>
      <c r="F18" s="84">
        <f t="shared" si="0"/>
        <v>1</v>
      </c>
      <c r="G18" s="75"/>
      <c r="H18" s="75">
        <f t="shared" si="1"/>
        <v>1</v>
      </c>
    </row>
    <row r="19" spans="1:8" ht="15.75">
      <c r="A19" s="73">
        <v>11</v>
      </c>
      <c r="B19" s="75" t="s">
        <v>265</v>
      </c>
      <c r="C19" s="75"/>
      <c r="D19" s="75">
        <v>0</v>
      </c>
      <c r="E19" s="75"/>
      <c r="F19" s="84">
        <f t="shared" si="0"/>
        <v>0</v>
      </c>
      <c r="G19" s="75"/>
      <c r="H19" s="75">
        <f t="shared" si="1"/>
        <v>0</v>
      </c>
    </row>
    <row r="20" spans="1:8" s="82" customFormat="1" ht="15.75">
      <c r="A20" s="73">
        <v>12</v>
      </c>
      <c r="B20" s="21" t="s">
        <v>252</v>
      </c>
      <c r="C20" s="75"/>
      <c r="D20" s="84">
        <v>3</v>
      </c>
      <c r="E20" s="84">
        <v>2</v>
      </c>
      <c r="F20" s="84">
        <f t="shared" si="0"/>
        <v>5</v>
      </c>
      <c r="G20" s="84"/>
      <c r="H20" s="75">
        <f t="shared" si="1"/>
        <v>5</v>
      </c>
    </row>
    <row r="21" spans="1:8" s="82" customFormat="1" ht="15.75">
      <c r="A21" s="73">
        <v>13</v>
      </c>
      <c r="B21" s="21" t="s">
        <v>848</v>
      </c>
      <c r="C21" s="75"/>
      <c r="D21" s="84"/>
      <c r="E21" s="84">
        <v>0.75</v>
      </c>
      <c r="F21" s="84">
        <v>0.75</v>
      </c>
      <c r="G21" s="84"/>
      <c r="H21" s="75">
        <f t="shared" si="1"/>
        <v>0.75</v>
      </c>
    </row>
    <row r="22" spans="1:8" ht="15.75">
      <c r="A22" s="73">
        <v>14</v>
      </c>
      <c r="B22" s="75" t="s">
        <v>253</v>
      </c>
      <c r="C22" s="75"/>
      <c r="D22" s="75">
        <v>10.5</v>
      </c>
      <c r="E22" s="75">
        <v>4</v>
      </c>
      <c r="F22" s="84">
        <f t="shared" si="0"/>
        <v>14.5</v>
      </c>
      <c r="G22" s="75">
        <v>6</v>
      </c>
      <c r="H22" s="75">
        <f t="shared" si="1"/>
        <v>20.5</v>
      </c>
    </row>
    <row r="23" spans="1:8" ht="15.75">
      <c r="A23" s="73">
        <v>15</v>
      </c>
      <c r="B23" s="75" t="s">
        <v>824</v>
      </c>
      <c r="C23" s="75"/>
      <c r="D23" s="75">
        <v>1</v>
      </c>
      <c r="E23" s="75"/>
      <c r="F23" s="84">
        <f t="shared" si="0"/>
        <v>1</v>
      </c>
      <c r="G23" s="75"/>
      <c r="H23" s="75">
        <f t="shared" si="1"/>
        <v>1</v>
      </c>
    </row>
    <row r="24" spans="1:8" s="82" customFormat="1" ht="15.75">
      <c r="A24" s="73">
        <v>16</v>
      </c>
      <c r="B24" s="21" t="s">
        <v>254</v>
      </c>
      <c r="C24" s="79"/>
      <c r="D24" s="79">
        <v>3</v>
      </c>
      <c r="E24" s="79">
        <v>3.5</v>
      </c>
      <c r="F24" s="84">
        <f t="shared" si="0"/>
        <v>6.5</v>
      </c>
      <c r="G24" s="79"/>
      <c r="H24" s="75">
        <f t="shared" si="1"/>
        <v>6.5</v>
      </c>
    </row>
    <row r="25" spans="1:8" s="82" customFormat="1" ht="15.75">
      <c r="A25" s="73">
        <v>17</v>
      </c>
      <c r="B25" s="21" t="s">
        <v>849</v>
      </c>
      <c r="C25" s="79"/>
      <c r="D25" s="79">
        <v>0.5</v>
      </c>
      <c r="E25" s="79"/>
      <c r="F25" s="84">
        <f t="shared" si="0"/>
        <v>0.5</v>
      </c>
      <c r="G25" s="79"/>
      <c r="H25" s="75">
        <f t="shared" si="1"/>
        <v>0.5</v>
      </c>
    </row>
    <row r="26" spans="1:8" s="82" customFormat="1" ht="15.75">
      <c r="A26" s="73">
        <v>18</v>
      </c>
      <c r="B26" s="79" t="s">
        <v>255</v>
      </c>
      <c r="C26" s="75">
        <f aca="true" t="shared" si="2" ref="C26:H26">SUM(C15:C24)</f>
        <v>0</v>
      </c>
      <c r="D26" s="75">
        <f>SUM(D15:D25)</f>
        <v>21</v>
      </c>
      <c r="E26" s="75">
        <f t="shared" si="2"/>
        <v>11.25</v>
      </c>
      <c r="F26" s="75">
        <f t="shared" si="2"/>
        <v>31.75</v>
      </c>
      <c r="G26" s="75">
        <f t="shared" si="2"/>
        <v>6</v>
      </c>
      <c r="H26" s="75">
        <f t="shared" si="2"/>
        <v>37.75</v>
      </c>
    </row>
    <row r="27" spans="1:8" s="82" customFormat="1" ht="15.75">
      <c r="A27" s="73">
        <v>19</v>
      </c>
      <c r="B27" s="79"/>
      <c r="C27" s="75"/>
      <c r="D27" s="75"/>
      <c r="E27" s="75"/>
      <c r="F27" s="75"/>
      <c r="G27" s="75"/>
      <c r="H27" s="75"/>
    </row>
    <row r="28" spans="1:8" s="82" customFormat="1" ht="15.75">
      <c r="A28" s="73">
        <v>20</v>
      </c>
      <c r="B28" s="79" t="s">
        <v>343</v>
      </c>
      <c r="C28" s="84">
        <f>C26+C12</f>
        <v>0</v>
      </c>
      <c r="D28" s="84">
        <f>D26+D13</f>
        <v>32</v>
      </c>
      <c r="E28" s="84">
        <f>E26+E13</f>
        <v>11.25</v>
      </c>
      <c r="F28" s="84">
        <f>F26+F13</f>
        <v>42.75</v>
      </c>
      <c r="G28" s="84">
        <f>G26+G13</f>
        <v>6</v>
      </c>
      <c r="H28" s="84">
        <f>H26+H13</f>
        <v>48.75</v>
      </c>
    </row>
    <row r="29" s="128" customFormat="1" ht="15.75">
      <c r="A29" s="127"/>
    </row>
    <row r="30" s="128" customFormat="1" ht="15.75">
      <c r="A30" s="127"/>
    </row>
  </sheetData>
  <sheetProtection/>
  <mergeCells count="2">
    <mergeCell ref="A1:D1"/>
    <mergeCell ref="B3:G3"/>
  </mergeCells>
  <printOptions/>
  <pageMargins left="0.7" right="0.7" top="0.75" bottom="0.75" header="0.3" footer="0.3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2016-11-15T08:50:02Z</dcterms:modified>
  <cp:category/>
  <cp:version/>
  <cp:contentType/>
  <cp:contentStatus/>
</cp:coreProperties>
</file>