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8800" windowHeight="12336" firstSheet="3" activeTab="3"/>
  </bookViews>
  <sheets>
    <sheet name="RM_TARTALOMJEGYZÉK" sheetId="1" r:id="rId1"/>
    <sheet name="RM_ALAPADATOK" sheetId="2" r:id="rId2"/>
    <sheet name="RM_ÖSSZEFÜGGÉSEK" sheetId="3" r:id="rId3"/>
    <sheet name="1.sz.mell." sheetId="4" r:id="rId4"/>
    <sheet name="2.sz.mell" sheetId="5" r:id="rId5"/>
    <sheet name="3.sz.mell." sheetId="6" r:id="rId6"/>
    <sheet name="4.sz.mell." sheetId="7" r:id="rId7"/>
    <sheet name="5.sz.mell." sheetId="8" r:id="rId8"/>
    <sheet name="6.sz.mell." sheetId="9" r:id="rId9"/>
    <sheet name="RM_ELLENŐRZÉS" sheetId="10" r:id="rId10"/>
    <sheet name="7.sz.mell." sheetId="11" r:id="rId11"/>
    <sheet name="8.sz.mell." sheetId="12" r:id="rId12"/>
    <sheet name="9.sz.mell" sheetId="13" r:id="rId13"/>
    <sheet name="10.sz.mell" sheetId="14" r:id="rId14"/>
    <sheet name="11.sz.mell" sheetId="15" r:id="rId15"/>
    <sheet name="12.sz.mell" sheetId="16" r:id="rId16"/>
    <sheet name="13.sz.mell" sheetId="17" r:id="rId17"/>
    <sheet name="14.sz.mell" sheetId="18" r:id="rId18"/>
    <sheet name="15.sz.mell" sheetId="19" r:id="rId19"/>
    <sheet name="16.sz.mell" sheetId="20" r:id="rId20"/>
    <sheet name="17.sz.mell" sheetId="21" r:id="rId21"/>
    <sheet name="18.sz.mell" sheetId="22" r:id="rId22"/>
    <sheet name="19.sz.mell" sheetId="23" r:id="rId23"/>
    <sheet name="20.sz.mell" sheetId="24" r:id="rId24"/>
    <sheet name="21.sz.mell" sheetId="25" r:id="rId25"/>
    <sheet name="22.sz.mell" sheetId="26" r:id="rId26"/>
  </sheets>
  <externalReferences>
    <externalReference r:id="rId29"/>
  </externalReferences>
  <definedNames>
    <definedName name="_xlfn.IFERROR" hidden="1">#NAME?</definedName>
    <definedName name="_xlnm.Print_Titles" localSheetId="13">'10.sz.mell'!$1:$6</definedName>
    <definedName name="_xlnm.Print_Titles" localSheetId="14">'11.sz.mell'!$1:$6</definedName>
    <definedName name="_xlnm.Print_Titles" localSheetId="15">'12.sz.mell'!$1:$6</definedName>
    <definedName name="_xlnm.Print_Titles" localSheetId="16">'13.sz.mell'!$1:$7</definedName>
    <definedName name="_xlnm.Print_Titles" localSheetId="17">'14.sz.mell'!$1:$7</definedName>
    <definedName name="_xlnm.Print_Titles" localSheetId="18">'15.sz.mell'!$1:$7</definedName>
    <definedName name="_xlnm.Print_Titles" localSheetId="19">'16.sz.mell'!$1:$7</definedName>
    <definedName name="_xlnm.Print_Titles" localSheetId="20">'17.sz.mell'!$1:$7</definedName>
    <definedName name="_xlnm.Print_Titles" localSheetId="21">'18.sz.mell'!$1:$7</definedName>
    <definedName name="_xlnm.Print_Titles" localSheetId="22">'19.sz.mell'!$1:$7</definedName>
    <definedName name="_xlnm.Print_Titles" localSheetId="23">'20.sz.mell'!$1:$7</definedName>
    <definedName name="_xlnm.Print_Titles" localSheetId="12">'9.sz.mell'!$1:$6</definedName>
    <definedName name="_xlnm.Print_Area" localSheetId="3">'1.sz.mell.'!$A$1:$K$168</definedName>
    <definedName name="_xlnm.Print_Area" localSheetId="4">'2.sz.mell'!$A$1:$K$168</definedName>
    <definedName name="_xlnm.Print_Area" localSheetId="5">'3.sz.mell.'!$A$1:$K$168</definedName>
    <definedName name="_xlnm.Print_Area" localSheetId="6">'4.sz.mell.'!$A$1:$K$168</definedName>
  </definedNames>
  <calcPr fullCalcOnLoad="1"/>
</workbook>
</file>

<file path=xl/sharedStrings.xml><?xml version="1.0" encoding="utf-8"?>
<sst xmlns="http://schemas.openxmlformats.org/spreadsheetml/2006/main" count="4061" uniqueCount="649">
  <si>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</si>
  <si>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</si>
  <si>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</si>
  <si>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</si>
  <si>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</si>
  <si>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</si>
  <si>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</si>
  <si>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</si>
  <si>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</si>
  <si>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</si>
  <si>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</si>
  <si>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</si>
  <si>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</si>
  <si>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</si>
  <si>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</si>
  <si>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</si>
  <si>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</si>
  <si>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</si>
  <si>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</si>
  <si>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</si>
  <si>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</si>
  <si>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</si>
  <si>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</si>
  <si>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</si>
  <si>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</si>
  <si>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</si>
  <si>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</si>
  <si>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</si>
  <si>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</si>
  <si>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</si>
  <si>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</si>
  <si>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</si>
  <si>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</si>
  <si>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</si>
  <si>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</si>
  <si>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</si>
  <si>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</si>
  <si>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</si>
  <si>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</si>
  <si>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</si>
  <si>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</si>
  <si>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</si>
  <si>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</si>
  <si>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</si>
  <si>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</si>
  <si>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</si>
  <si>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</si>
  <si>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</si>
  <si>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</si>
  <si>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</si>
  <si>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</si>
  <si>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</si>
  <si>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</si>
  <si>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</si>
  <si>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</si>
  <si>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</si>
  <si>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</si>
  <si>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</si>
  <si>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</si>
  <si>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</si>
  <si>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</si>
  <si>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</si>
  <si>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</si>
  <si>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</si>
  <si>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</si>
  <si>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</si>
  <si>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</si>
  <si>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</si>
  <si>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</si>
  <si>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</si>
  <si>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</si>
  <si>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</si>
  <si>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</si>
  <si>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</si>
  <si>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</si>
  <si>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</si>
  <si>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</si>
  <si>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</si>
  <si>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</si>
  <si>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</si>
  <si>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</si>
  <si>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</si>
  <si>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</si>
  <si>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</si>
  <si>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</si>
  <si>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</si>
  <si>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</si>
  <si>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</si>
  <si>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</si>
  <si>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</si>
  <si>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</si>
  <si>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</si>
  <si>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</si>
  <si>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</si>
  <si>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</si>
  <si>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</si>
  <si>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</si>
  <si>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</si>
  <si>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</si>
  <si>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</si>
  <si>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</si>
  <si>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</si>
  <si>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</si>
  <si>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</si>
  <si>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</si>
  <si>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</si>
  <si>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</si>
  <si>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</si>
  <si>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</si>
  <si>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</si>
  <si>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</si>
  <si>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</si>
  <si>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</si>
  <si>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</si>
  <si>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</si>
  <si>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</si>
  <si>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</si>
  <si>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</si>
  <si>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</si>
  <si>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</si>
  <si>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</si>
  <si>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</si>
  <si>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</si>
  <si>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</si>
  <si>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</si>
  <si>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</si>
  <si>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</si>
  <si>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</si>
  <si>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</si>
  <si>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</si>
  <si>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</si>
  <si>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</si>
  <si>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</si>
  <si>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</si>
  <si>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</si>
  <si>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</si>
  <si>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</si>
  <si>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</si>
  <si>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</si>
  <si>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</si>
  <si>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</si>
  <si>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</si>
  <si>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</si>
  <si>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</si>
  <si>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</si>
  <si>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</si>
  <si>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</si>
  <si>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</si>
  <si>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</si>
  <si>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</si>
  <si>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</si>
  <si>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</si>
  <si>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</si>
  <si>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</si>
  <si>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</si>
  <si>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</si>
  <si>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</si>
  <si>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</si>
  <si>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</si>
  <si>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</si>
  <si>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</si>
  <si>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</si>
  <si>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</si>
  <si>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</si>
  <si>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</si>
  <si>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</si>
  <si>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</si>
  <si>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</si>
  <si>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</si>
  <si>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</si>
  <si>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</si>
  <si>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</si>
  <si>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</si>
  <si>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</si>
  <si>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</si>
  <si>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</si>
  <si>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</si>
  <si>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</si>
  <si>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</si>
  <si>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</si>
  <si>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</si>
  <si>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</si>
  <si>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</si>
  <si>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</si>
  <si>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</si>
  <si>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</si>
  <si>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</si>
  <si>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</si>
  <si>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</si>
  <si>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</si>
  <si>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</si>
  <si>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</si>
  <si>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</si>
  <si>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</si>
  <si>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</si>
  <si>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</si>
  <si>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</si>
  <si>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</si>
  <si>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</si>
  <si>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</si>
  <si>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</si>
  <si>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</si>
  <si>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</si>
  <si>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</si>
  <si>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</si>
  <si>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</si>
  <si>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</si>
  <si>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</si>
  <si>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</si>
  <si>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</si>
  <si>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</si>
  <si>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</si>
  <si>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</si>
  <si>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</si>
  <si>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</si>
  <si>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</si>
  <si>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</si>
  <si>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</si>
  <si>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</si>
  <si>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</si>
  <si>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</si>
  <si>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</si>
  <si>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</si>
  <si>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</si>
  <si>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</si>
  <si>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</si>
  <si>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</si>
  <si>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</si>
  <si>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</si>
  <si>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</si>
  <si>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</si>
  <si>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</si>
  <si>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</si>
  <si>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</si>
  <si>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</si>
  <si>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</si>
  <si>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</si>
  <si>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</si>
  <si>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</si>
  <si>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</si>
  <si>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</si>
  <si>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</si>
  <si>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</si>
  <si>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</si>
  <si>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</si>
  <si>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</si>
  <si>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</si>
  <si>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</si>
  <si>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</si>
  <si>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</si>
  <si>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</si>
  <si>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</si>
  <si>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</si>
  <si>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</si>
  <si>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</si>
  <si>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</si>
  <si>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</si>
  <si>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</si>
  <si>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</si>
  <si>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</si>
  <si>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</si>
  <si>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</si>
  <si>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</si>
  <si>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</si>
  <si>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</si>
  <si>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</si>
  <si>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</si>
  <si>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</si>
  <si>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</si>
  <si>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</si>
  <si>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</si>
  <si>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</si>
  <si>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</si>
  <si>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</si>
  <si>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</si>
  <si>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</si>
  <si>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</si>
  <si>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</si>
  <si>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</si>
  <si>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</si>
  <si>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</si>
  <si>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</si>
  <si>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</si>
  <si>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</si>
  <si>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</si>
  <si>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</si>
  <si>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</si>
  <si>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</si>
  <si>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</si>
  <si>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</si>
  <si>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</si>
  <si>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</si>
  <si>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</si>
  <si>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</si>
  <si>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</si>
  <si>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</si>
  <si>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</si>
  <si>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</si>
  <si>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</si>
  <si>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</si>
  <si>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</si>
  <si>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</si>
  <si>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</si>
  <si>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</si>
  <si>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</si>
  <si>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</si>
  <si>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</si>
  <si>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</si>
  <si>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</si>
  <si>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</si>
  <si>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</si>
  <si>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</si>
  <si>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</si>
  <si>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</si>
  <si>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</si>
  <si>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</si>
  <si>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</si>
  <si>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</si>
  <si>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</si>
  <si>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</si>
  <si>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</si>
  <si>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</si>
  <si>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</si>
  <si>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</si>
  <si>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</si>
  <si>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</si>
  <si>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</si>
  <si>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</si>
  <si>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</si>
  <si>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</si>
  <si>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</si>
  <si>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</si>
  <si>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</si>
  <si>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</si>
  <si>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</si>
  <si>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</si>
  <si>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</si>
  <si>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</si>
  <si>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</si>
  <si>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</si>
  <si>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</si>
  <si>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</si>
  <si>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</si>
  <si>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</si>
  <si>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</si>
  <si>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</si>
  <si>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</si>
  <si>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</si>
  <si>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</si>
  <si>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</si>
  <si>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</si>
  <si>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</si>
  <si>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</si>
  <si>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</si>
  <si>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</si>
  <si>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</si>
  <si>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</si>
  <si>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</si>
  <si>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</si>
  <si>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</si>
  <si>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</si>
  <si>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</si>
  <si>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</si>
  <si>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</si>
  <si>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</si>
  <si>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</si>
  <si>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</si>
  <si>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</si>
  <si>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</si>
  <si>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</si>
  <si>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</si>
  <si>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</si>
  <si>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</si>
  <si>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</si>
  <si>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</si>
  <si>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</si>
  <si>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</si>
  <si>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</si>
  <si>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</si>
  <si>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</si>
  <si>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</si>
  <si>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</si>
  <si>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</si>
  <si>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</si>
  <si>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</si>
  <si>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</si>
  <si>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</si>
  <si>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</si>
  <si>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</si>
  <si>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</si>
  <si>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</si>
  <si>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</si>
  <si>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</si>
  <si>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</si>
  <si>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</si>
  <si>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</si>
  <si>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</si>
  <si>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</si>
  <si>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</si>
  <si>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</si>
  <si>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</si>
  <si>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</si>
  <si>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</si>
  <si>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</si>
  <si>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</si>
  <si>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</si>
  <si>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</si>
  <si>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</si>
  <si>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</si>
  <si>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</si>
  <si>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</si>
  <si>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</si>
  <si>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</si>
  <si>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</si>
  <si>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</si>
  <si>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</si>
  <si>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</si>
  <si>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</si>
  <si>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</si>
  <si>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</si>
  <si>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</si>
  <si>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</si>
  <si>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</si>
  <si>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</si>
  <si>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</si>
  <si>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</si>
  <si>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</si>
  <si>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</si>
  <si>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</si>
  <si>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</si>
  <si>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</si>
  <si>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</si>
  <si>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</si>
  <si>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</si>
  <si>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</si>
  <si>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</si>
  <si>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</si>
  <si>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</si>
  <si>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</si>
  <si>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</si>
  <si>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</si>
  <si>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</si>
  <si>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</si>
  <si>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</si>
  <si>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</si>
  <si>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</si>
  <si>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</si>
  <si>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</si>
  <si>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</si>
  <si>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</si>
  <si>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</si>
  <si>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</si>
  <si>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</si>
  <si>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</si>
  <si>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</si>
  <si>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</si>
  <si>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</si>
  <si>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</si>
  <si>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</si>
  <si>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</si>
  <si>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</si>
  <si>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</si>
  <si>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</si>
  <si>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</si>
  <si>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</si>
  <si>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</si>
  <si>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</si>
  <si>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</si>
  <si>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</si>
  <si>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</si>
  <si>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</si>
  <si>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</si>
  <si>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</si>
  <si>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</si>
  <si>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</si>
  <si>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</si>
  <si>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</si>
  <si>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</si>
  <si>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</si>
  <si>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</si>
  <si>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</si>
  <si>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</si>
  <si>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</si>
  <si>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</si>
  <si>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</si>
  <si>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</si>
  <si>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</si>
  <si>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</si>
  <si>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</si>
  <si>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</si>
  <si>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</si>
  <si>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</si>
  <si>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</si>
  <si>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</si>
  <si>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</si>
  <si>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</si>
  <si>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</si>
  <si>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</si>
  <si>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</si>
  <si>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</si>
  <si>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</si>
  <si>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</si>
  <si>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</si>
  <si>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</si>
  <si>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</si>
  <si>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</si>
  <si>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</si>
  <si>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Táblázatok adatainak összefüggései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</si>
  <si>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</si>
  <si>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</si>
  <si>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</si>
  <si>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</si>
  <si>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</si>
  <si>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</si>
  <si>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</si>
  <si>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</si>
  <si>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</si>
  <si>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</si>
  <si>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</si>
  <si>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</si>
  <si>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</si>
  <si>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</si>
  <si>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</si>
  <si>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</si>
  <si>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</si>
  <si>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</si>
  <si>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</si>
  <si>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</si>
  <si>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</si>
  <si>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</si>
  <si>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</si>
  <si>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</si>
  <si>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</si>
  <si>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</si>
  <si>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</si>
  <si>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</si>
  <si>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</si>
  <si>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</si>
  <si>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</si>
  <si>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</si>
  <si>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</si>
  <si>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</si>
  <si>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A 2023. évi általános működési és ágazati feladatok támogatásának alakulása jogcímenként</t>
  </si>
  <si>
    <t>Balatonvilágos Község Önkormányzata</t>
  </si>
  <si>
    <t>Balatonvilágos Község Önkormányzat Gazdasági Ellátó és Vagyongazdálkodó Szervezete</t>
  </si>
  <si>
    <t>Balatonvilágosi Szivárvány Óvoda</t>
  </si>
  <si>
    <t>Önkormányzatok gyermekétkeztetési feladatainak támogatása</t>
  </si>
  <si>
    <t xml:space="preserve">   Elszámolásból származó bevételek</t>
  </si>
  <si>
    <t>Telekadó</t>
  </si>
  <si>
    <t>Kommunálisadó</t>
  </si>
  <si>
    <t>Adópótlék</t>
  </si>
  <si>
    <t>Bírság</t>
  </si>
  <si>
    <t>4.8.</t>
  </si>
  <si>
    <t>2023. évi eredeti előirányzat BEVÉTELEK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</si>
  <si>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</si>
  <si>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</si>
  <si>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</si>
  <si>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</si>
  <si>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Eddigi módosítások összege 2023-ben</t>
  </si>
  <si>
    <t>I. sz. módosítás</t>
  </si>
  <si>
    <t xml:space="preserve">Közétkeztetés kisértékű tárgyi eszközök (konyhai eszközök) </t>
  </si>
  <si>
    <t>2023</t>
  </si>
  <si>
    <t>Zöldterület kisértékű tárgyi eszközök (fűkasza, rotációs kapa, fúró)</t>
  </si>
  <si>
    <t xml:space="preserve">Háziorvosi szolgálat kisértékű tárgyi eszközök (műszerek) </t>
  </si>
  <si>
    <t>Könyvtári állomány gyarpítása (könyv vásárlás)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</si>
  <si>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</si>
  <si>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</si>
  <si>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</si>
  <si>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</si>
  <si>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</si>
  <si>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</si>
  <si>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</si>
  <si>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</si>
  <si>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</si>
  <si>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</si>
  <si>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</si>
  <si>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</si>
  <si>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</si>
  <si>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</si>
  <si>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</si>
  <si>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</si>
  <si>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</si>
  <si>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Lakott külterülettel kapcsolatos feladatok támogatása</t>
  </si>
  <si>
    <t>Polgármesteri illetményhez és költségtérítéshez nyújtott támogatás</t>
  </si>
  <si>
    <t>Közvilágítás kiegészítő támogatás</t>
  </si>
  <si>
    <t>1.2.1.1.</t>
  </si>
  <si>
    <t>Óvodaműködtetési támogatás 8/12</t>
  </si>
  <si>
    <t>Óvodaműködtetési támogatás 4/12</t>
  </si>
  <si>
    <t>1.2.2-1.2.5</t>
  </si>
  <si>
    <t>Óvoda bértámogatás 8/12</t>
  </si>
  <si>
    <t>Óvoda bértámogatás 4/12</t>
  </si>
  <si>
    <t>1.3.2.3.1.</t>
  </si>
  <si>
    <t>Szociális étkezés</t>
  </si>
  <si>
    <t>1.3.2.5.</t>
  </si>
  <si>
    <t>Falugondnoki vagy Tanyagondnoki támogatás</t>
  </si>
  <si>
    <t>1.4.1.1.</t>
  </si>
  <si>
    <t>Intézményi gyermekétkeztetés bértámogatása</t>
  </si>
  <si>
    <t>1.4.1.2.</t>
  </si>
  <si>
    <t>Intézményi gyermekétkeztetés üzemeltetési támogatás</t>
  </si>
  <si>
    <t>1.5.2.</t>
  </si>
  <si>
    <t>Települési önkormányzatok egyes kulturális feladatainak támogatása</t>
  </si>
  <si>
    <t xml:space="preserve">Halmozott módosítás </t>
  </si>
  <si>
    <t xml:space="preserve">Módosítások összesen </t>
  </si>
  <si>
    <t>Szennyvíz elvezetéshez  tervek (Mű.ház)</t>
  </si>
  <si>
    <t>Rendezvény parkoló villamos mérés kialkítása</t>
  </si>
  <si>
    <t>Villamos mérő cseréje TRIÁL vendégház</t>
  </si>
  <si>
    <t>TELÜZ ingatlan felújítás (ajtó ablak csere)</t>
  </si>
  <si>
    <t>Panoráma sétány</t>
  </si>
  <si>
    <t xml:space="preserve">Magyar Falu Program Utak hídak Barackos, Körte utca Műszaki dokumentáció </t>
  </si>
  <si>
    <t>Az önkormányzat által adott közvetett támogatások
(kedvezmények)</t>
  </si>
  <si>
    <t>Sor-szám</t>
  </si>
  <si>
    <t>Kedvezmény nélkül elérhető bevétel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</si>
  <si>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</si>
  <si>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</si>
  <si>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</si>
  <si>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</si>
  <si>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</si>
  <si>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</si>
  <si>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</si>
  <si>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</si>
  <si>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</si>
  <si>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</si>
  <si>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</si>
  <si>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</si>
  <si>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</si>
  <si>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</si>
  <si>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</si>
  <si>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</si>
  <si>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21. melléklet a 2023/ (…..) önkormányzati rendelethez</t>
  </si>
  <si>
    <t>22. melléklet</t>
  </si>
  <si>
    <t>Az önkormányzat által adott közvetett támogatások (kedvezmények)</t>
  </si>
  <si>
    <t>II. sz. módosítás</t>
  </si>
  <si>
    <t xml:space="preserve">2. sz. módosítás </t>
  </si>
  <si>
    <t>Mentességek / Kedvezmények összege</t>
  </si>
  <si>
    <t>III. számú módosítás utáni előirányzat</t>
  </si>
  <si>
    <t>III. sz. módosítás</t>
  </si>
  <si>
    <t>J=(F+G+H+I)</t>
  </si>
  <si>
    <t>K=(E+I)</t>
  </si>
  <si>
    <t>K=(E+H)</t>
  </si>
  <si>
    <t>Óvoda hordozható hangfal</t>
  </si>
  <si>
    <t>Óvoda 3 db. Tálalószekrény</t>
  </si>
  <si>
    <t>Óvoda öltözőszekrény</t>
  </si>
  <si>
    <t>Óvoda kávéfőző beszerzés</t>
  </si>
  <si>
    <t>Óvoda játék konyhabútor</t>
  </si>
  <si>
    <t xml:space="preserve">Közútak, hidak , működtetése Csalogány utcai áteresz </t>
  </si>
  <si>
    <t>Top_Plusz Település fejlesztés Balatonvilágoson - Tervezés</t>
  </si>
  <si>
    <t>Államháztartáson belüli megelőlegezés</t>
  </si>
  <si>
    <t xml:space="preserve"> </t>
  </si>
  <si>
    <t>Végleges támogatás ( bértámogatás nélkül)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</si>
</sst>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8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8"/>
      <color theme="1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9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5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6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2" xfId="0" applyNumberFormat="1" applyFont="1" applyFill="1" applyBorder="1" applyAlignment="1" applyProtection="1">
      <alignment horizontal="center" vertical="center" wrapTex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9" xfId="0" applyNumberFormat="1" applyFont="1" applyBorder="1" applyAlignment="1" applyProtection="1">
      <alignment horizontal="right" vertical="center" wrapText="1" indent="1"/>
      <protection/>
    </xf>
    <xf numFmtId="166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/>
    </xf>
    <xf numFmtId="0" fontId="79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80" fillId="0" borderId="23" xfId="0" applyFont="1" applyBorder="1" applyAlignment="1" applyProtection="1">
      <alignment horizontal="center" vertical="center" wrapText="1"/>
      <protection locked="0"/>
    </xf>
    <xf numFmtId="0" fontId="80" fillId="0" borderId="32" xfId="0" applyFont="1" applyBorder="1" applyAlignment="1" applyProtection="1">
      <alignment horizontal="center" vertical="center" wrapText="1"/>
      <protection locked="0"/>
    </xf>
    <xf numFmtId="0" fontId="80" fillId="0" borderId="33" xfId="0" applyFont="1" applyBorder="1" applyAlignment="1" applyProtection="1">
      <alignment horizontal="center" vertical="center" wrapText="1"/>
      <protection locked="0"/>
    </xf>
    <xf numFmtId="166" fontId="78" fillId="0" borderId="23" xfId="0" applyNumberFormat="1" applyFont="1" applyFill="1" applyBorder="1" applyAlignment="1" applyProtection="1">
      <alignment horizontal="center" vertical="center" wrapText="1"/>
      <protection/>
    </xf>
    <xf numFmtId="166" fontId="78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78" fillId="0" borderId="22" xfId="0" applyNumberFormat="1" applyFont="1" applyFill="1" applyBorder="1" applyAlignment="1" applyProtection="1">
      <alignment horizontal="center" vertical="center" wrapText="1"/>
      <protection/>
    </xf>
    <xf numFmtId="166" fontId="78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8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79" fillId="0" borderId="27" xfId="0" applyNumberFormat="1" applyFont="1" applyFill="1" applyBorder="1" applyAlignment="1" applyProtection="1">
      <alignment horizontal="center" vertical="center" wrapText="1"/>
      <protection/>
    </xf>
    <xf numFmtId="166" fontId="79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6" fontId="79" fillId="0" borderId="29" xfId="0" applyNumberFormat="1" applyFont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 locked="0"/>
    </xf>
    <xf numFmtId="0" fontId="78" fillId="0" borderId="31" xfId="0" applyFont="1" applyBorder="1" applyAlignment="1" applyProtection="1">
      <alignment horizontal="center" vertical="center" wrapText="1"/>
      <protection locked="0"/>
    </xf>
    <xf numFmtId="0" fontId="78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9" fillId="0" borderId="23" xfId="60" applyFont="1" applyFill="1" applyBorder="1" applyAlignment="1" applyProtection="1">
      <alignment horizontal="center" vertical="center" wrapText="1"/>
      <protection locked="0"/>
    </xf>
    <xf numFmtId="166" fontId="79" fillId="0" borderId="29" xfId="0" applyNumberFormat="1" applyFont="1" applyBorder="1" applyAlignment="1" applyProtection="1">
      <alignment horizontal="center" vertical="center" wrapText="1"/>
      <protection locked="0"/>
    </xf>
    <xf numFmtId="166" fontId="80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 locked="0"/>
    </xf>
    <xf numFmtId="0" fontId="79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 vertical="top" wrapText="1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166" fontId="83" fillId="0" borderId="0" xfId="60" applyNumberFormat="1" applyFont="1" applyFill="1" applyAlignment="1" applyProtection="1">
      <alignment horizontal="right" vertical="center" indent="1"/>
      <protection/>
    </xf>
    <xf numFmtId="0" fontId="83" fillId="0" borderId="0" xfId="60" applyFont="1" applyFill="1" applyProtection="1">
      <alignment/>
      <protection/>
    </xf>
    <xf numFmtId="166" fontId="83" fillId="0" borderId="0" xfId="60" applyNumberFormat="1" applyFont="1" applyFill="1" applyProtection="1">
      <alignment/>
      <protection/>
    </xf>
    <xf numFmtId="166" fontId="84" fillId="0" borderId="0" xfId="0" applyNumberFormat="1" applyFont="1" applyFill="1" applyAlignment="1" applyProtection="1">
      <alignment horizontal="right" vertical="center" wrapText="1" indent="1"/>
      <protection/>
    </xf>
    <xf numFmtId="0" fontId="84" fillId="0" borderId="0" xfId="0" applyFont="1" applyFill="1" applyAlignment="1" applyProtection="1">
      <alignment horizontal="right" vertical="center" wrapText="1" indent="1"/>
      <protection/>
    </xf>
    <xf numFmtId="0" fontId="84" fillId="0" borderId="68" xfId="0" applyFont="1" applyFill="1" applyBorder="1" applyAlignment="1" applyProtection="1">
      <alignment horizontal="right" vertical="center" wrapText="1" indent="1"/>
      <protection/>
    </xf>
    <xf numFmtId="166" fontId="84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84" fillId="0" borderId="0" xfId="0" applyNumberFormat="1" applyFont="1" applyFill="1" applyAlignment="1" applyProtection="1">
      <alignment horizontal="right" vertical="center" wrapText="1"/>
      <protection/>
    </xf>
    <xf numFmtId="0" fontId="84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78" fillId="0" borderId="33" xfId="0" applyNumberFormat="1" applyFont="1" applyFill="1" applyBorder="1" applyAlignment="1" applyProtection="1">
      <alignment horizontal="center" vertical="center" wrapText="1"/>
      <protection/>
    </xf>
    <xf numFmtId="166" fontId="78" fillId="0" borderId="32" xfId="0" applyNumberFormat="1" applyFont="1" applyFill="1" applyBorder="1" applyAlignment="1" applyProtection="1">
      <alignment horizontal="center" vertical="center" wrapText="1"/>
      <protection/>
    </xf>
    <xf numFmtId="166" fontId="78" fillId="0" borderId="23" xfId="0" applyNumberFormat="1" applyFont="1" applyBorder="1" applyAlignment="1" applyProtection="1">
      <alignment horizontal="center" vertical="center" wrapText="1"/>
      <protection/>
    </xf>
    <xf numFmtId="166" fontId="78" fillId="0" borderId="32" xfId="0" applyNumberFormat="1" applyFont="1" applyBorder="1" applyAlignment="1" applyProtection="1">
      <alignment horizontal="center" vertical="center" wrapText="1"/>
      <protection/>
    </xf>
    <xf numFmtId="166" fontId="78" fillId="0" borderId="33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3" xfId="0" applyFont="1" applyBorder="1" applyAlignment="1" applyProtection="1">
      <alignment horizontal="center" vertical="center" wrapText="1"/>
      <protection/>
    </xf>
    <xf numFmtId="0" fontId="80" fillId="0" borderId="32" xfId="0" applyFont="1" applyBorder="1" applyAlignment="1" applyProtection="1">
      <alignment horizontal="center" vertical="center" wrapText="1"/>
      <protection/>
    </xf>
    <xf numFmtId="0" fontId="80" fillId="0" borderId="33" xfId="0" applyFont="1" applyBorder="1" applyAlignment="1" applyProtection="1">
      <alignment horizontal="center"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35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7" fillId="0" borderId="47" xfId="0" applyFont="1" applyBorder="1" applyAlignment="1">
      <alignment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6" xfId="60" applyNumberFormat="1" applyFont="1" applyFill="1" applyBorder="1" applyAlignment="1" applyProtection="1">
      <alignment horizontal="right" vertical="center" wrapText="1"/>
      <protection locked="0"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55" xfId="0" applyNumberFormat="1" applyFont="1" applyFill="1" applyBorder="1" applyAlignment="1" applyProtection="1">
      <alignment vertical="center" wrapText="1"/>
      <protection/>
    </xf>
    <xf numFmtId="166" fontId="13" fillId="0" borderId="60" xfId="0" applyNumberFormat="1" applyFont="1" applyFill="1" applyBorder="1" applyAlignment="1" applyProtection="1">
      <alignment vertical="center" wrapTex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5" xfId="0" applyFill="1" applyBorder="1" applyAlignment="1">
      <alignment/>
    </xf>
    <xf numFmtId="0" fontId="7" fillId="0" borderId="35" xfId="0" applyFont="1" applyFill="1" applyBorder="1" applyAlignment="1">
      <alignment vertical="center"/>
    </xf>
    <xf numFmtId="0" fontId="13" fillId="0" borderId="70" xfId="0" applyFont="1" applyFill="1" applyBorder="1" applyAlignment="1">
      <alignment/>
    </xf>
    <xf numFmtId="49" fontId="13" fillId="0" borderId="70" xfId="0" applyNumberFormat="1" applyFont="1" applyFill="1" applyBorder="1" applyAlignment="1">
      <alignment/>
    </xf>
    <xf numFmtId="166" fontId="0" fillId="0" borderId="19" xfId="0" applyNumberFormat="1" applyFill="1" applyBorder="1" applyAlignment="1" applyProtection="1">
      <alignment horizontal="left" vertical="center" wrapText="1"/>
      <protection locked="0"/>
    </xf>
    <xf numFmtId="166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166" fontId="8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 inden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 applyProtection="1">
      <alignment vertical="center" wrapText="1"/>
      <protection locked="0"/>
    </xf>
    <xf numFmtId="166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/>
    </xf>
    <xf numFmtId="166" fontId="12" fillId="0" borderId="27" xfId="0" applyNumberFormat="1" applyFont="1" applyFill="1" applyBorder="1" applyAlignment="1" applyProtection="1">
      <alignment vertical="center" wrapText="1"/>
      <protection/>
    </xf>
    <xf numFmtId="166" fontId="12" fillId="0" borderId="6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166" fontId="12" fillId="0" borderId="10" xfId="0" applyNumberFormat="1" applyFont="1" applyFill="1" applyBorder="1" applyAlignment="1" applyProtection="1">
      <alignment horizontal="center" vertical="center" wrapText="1"/>
      <protection/>
    </xf>
    <xf numFmtId="166" fontId="79" fillId="0" borderId="10" xfId="0" applyNumberFormat="1" applyFont="1" applyFill="1" applyBorder="1" applyAlignment="1" applyProtection="1">
      <alignment horizontal="center" vertical="center" wrapText="1"/>
      <protection/>
    </xf>
    <xf numFmtId="166" fontId="79" fillId="0" borderId="64" xfId="0" applyNumberFormat="1" applyFont="1" applyFill="1" applyBorder="1" applyAlignment="1" applyProtection="1">
      <alignment horizontal="center" vertical="center" wrapText="1"/>
      <protection/>
    </xf>
    <xf numFmtId="166" fontId="12" fillId="0" borderId="16" xfId="0" applyNumberFormat="1" applyFont="1" applyFill="1" applyBorder="1" applyAlignment="1" applyProtection="1">
      <alignment horizontal="center" vertical="center" wrapText="1"/>
      <protection/>
    </xf>
    <xf numFmtId="166" fontId="13" fillId="0" borderId="11" xfId="0" applyNumberFormat="1" applyFont="1" applyFill="1" applyBorder="1" applyAlignment="1" applyProtection="1">
      <alignment horizontal="left" vertical="center" wrapText="1"/>
      <protection/>
    </xf>
    <xf numFmtId="166" fontId="13" fillId="0" borderId="11" xfId="0" applyNumberFormat="1" applyFont="1" applyFill="1" applyBorder="1" applyAlignment="1" applyProtection="1">
      <alignment horizontal="right" vertical="center" wrapText="1"/>
      <protection/>
    </xf>
    <xf numFmtId="166" fontId="13" fillId="0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horizontal="center" vertical="center" wrapText="1"/>
      <protection/>
    </xf>
    <xf numFmtId="166" fontId="85" fillId="0" borderId="11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6" fontId="0" fillId="0" borderId="48" xfId="0" applyNumberFormat="1" applyFill="1" applyBorder="1" applyAlignment="1" applyProtection="1">
      <alignment horizontal="left" vertical="center" wrapText="1"/>
      <protection locked="0"/>
    </xf>
    <xf numFmtId="0" fontId="8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 locked="0"/>
    </xf>
    <xf numFmtId="166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6" fillId="0" borderId="72" xfId="0" applyNumberFormat="1" applyFont="1" applyFill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7" fillId="0" borderId="47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6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13" fillId="0" borderId="47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17" fillId="0" borderId="73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166" fontId="16" fillId="0" borderId="78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37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3" fontId="16" fillId="0" borderId="81" xfId="61" applyNumberFormat="1" applyFont="1" applyFill="1" applyBorder="1">
      <alignment/>
      <protection/>
    </xf>
    <xf numFmtId="166" fontId="16" fillId="0" borderId="49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7" fillId="0" borderId="82" xfId="0" applyNumberFormat="1" applyFont="1" applyFill="1" applyBorder="1" applyAlignment="1" applyProtection="1">
      <alignment horizontal="right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%20K&#246;lts&#233;gvet&#233;s\II.%20fordul&#243;\Henit&#337;l%20v&#233;gleges\El&#337;terjeszt&#233;s%20rendelet%20mell&#233;kletek%20KVIREND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30.sz.mell"/>
      <sheetName val="KV_31.sz.mell"/>
      <sheetName val="KV_32.sz.mell"/>
    </sheetNames>
    <sheetDataSet>
      <sheetData sheetId="3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zoomScale="130" zoomScaleNormal="130" zoomScalePageLayoutView="0" workbookViewId="0" topLeftCell="A1">
      <selection activeCell="B18" sqref="B18"/>
    </sheetView>
  </sheetViews>
  <sheetFormatPr defaultColWidth="9.00390625" defaultRowHeight="12.75"/>
  <cols>
    <col min="1" max="1" width="24.125" style="0" customWidth="1"/>
    <col min="2" max="2" width="105.50390625" style="0" customWidth="1"/>
  </cols>
  <sheetData>
    <row r="2" spans="1:2" ht="17.25">
      <c r="A2" s="525" t="s">
        <v>485</v>
      </c>
      <c r="B2" s="525"/>
    </row>
    <row r="3" spans="1:2" ht="13.5">
      <c r="A3" s="410"/>
      <c r="B3" s="411"/>
    </row>
    <row r="4" spans="1:2" ht="13.5">
      <c r="A4" s="412" t="s">
        <v>486</v>
      </c>
      <c r="B4" s="413" t="s">
        <v>487</v>
      </c>
    </row>
    <row r="5" spans="1:2" ht="12.75">
      <c r="A5" s="414"/>
      <c r="B5" s="414"/>
    </row>
    <row r="6" spans="1:2" ht="17.25">
      <c r="A6" s="526" t="s">
        <v>495</v>
      </c>
      <c r="B6" s="526"/>
    </row>
    <row r="7" spans="1:2" ht="12.75">
      <c r="A7" s="414" t="s">
        <v>488</v>
      </c>
      <c r="B7" s="414" t="s">
        <v>489</v>
      </c>
    </row>
    <row r="8" spans="1:2" ht="12.75">
      <c r="A8" s="414" t="s">
        <v>490</v>
      </c>
      <c r="B8" s="414" t="s">
        <v>507</v>
      </c>
    </row>
    <row r="9" spans="1:2" ht="12.75">
      <c r="A9" s="414" t="s">
        <v>512</v>
      </c>
      <c r="B9" s="414" t="s">
        <v>508</v>
      </c>
    </row>
    <row r="10" spans="1:2" ht="12.75">
      <c r="A10" s="414" t="s">
        <v>513</v>
      </c>
      <c r="B10" s="414" t="s">
        <v>509</v>
      </c>
    </row>
    <row r="11" spans="1:2" ht="12.75">
      <c r="A11" s="414" t="s">
        <v>493</v>
      </c>
      <c r="B11" s="414" t="s">
        <v>510</v>
      </c>
    </row>
    <row r="12" spans="1:2" ht="12.75">
      <c r="A12" s="414" t="s">
        <v>494</v>
      </c>
      <c r="B12" s="414" t="s">
        <v>511</v>
      </c>
    </row>
    <row r="13" spans="1:2" ht="12.75">
      <c r="A13" s="414" t="s">
        <v>514</v>
      </c>
      <c r="B13" s="414" t="s">
        <v>496</v>
      </c>
    </row>
    <row r="14" spans="1:2" ht="12.75">
      <c r="A14" s="414" t="s">
        <v>505</v>
      </c>
      <c r="B14" s="414" t="s">
        <v>497</v>
      </c>
    </row>
    <row r="15" spans="1:2" ht="12.75">
      <c r="A15" s="414" t="s">
        <v>491</v>
      </c>
      <c r="B15" s="414" t="s">
        <v>492</v>
      </c>
    </row>
    <row r="16" spans="1:2" ht="12.75">
      <c r="A16" s="414" t="s">
        <v>515</v>
      </c>
      <c r="B16" s="414" t="s">
        <v>437</v>
      </c>
    </row>
    <row r="17" spans="1:2" ht="12.75">
      <c r="A17" s="414" t="s">
        <v>516</v>
      </c>
      <c r="B17" s="414" t="s">
        <v>440</v>
      </c>
    </row>
    <row r="18" spans="1:2" ht="12.75">
      <c r="A18" s="414" t="s">
        <v>517</v>
      </c>
      <c r="B18" s="414" t="s">
        <v>530</v>
      </c>
    </row>
    <row r="19" spans="1:2" ht="12.75">
      <c r="A19" s="414" t="s">
        <v>518</v>
      </c>
      <c r="B19" s="414" t="s">
        <v>531</v>
      </c>
    </row>
    <row r="20" spans="1:2" ht="12.75">
      <c r="A20" s="414" t="s">
        <v>519</v>
      </c>
      <c r="B20" s="414" t="s">
        <v>532</v>
      </c>
    </row>
    <row r="21" spans="1:2" ht="12.75">
      <c r="A21" s="414" t="s">
        <v>520</v>
      </c>
      <c r="B21" s="414" t="s">
        <v>533</v>
      </c>
    </row>
    <row r="22" spans="1:2" ht="12.75">
      <c r="A22" s="414" t="s">
        <v>521</v>
      </c>
      <c r="B22" s="414" t="s">
        <v>534</v>
      </c>
    </row>
    <row r="23" spans="1:2" ht="12.75">
      <c r="A23" s="414" t="s">
        <v>522</v>
      </c>
      <c r="B23" t="s">
        <v>535</v>
      </c>
    </row>
    <row r="24" spans="1:2" ht="12.75">
      <c r="A24" s="414" t="s">
        <v>523</v>
      </c>
      <c r="B24" t="s">
        <v>536</v>
      </c>
    </row>
    <row r="25" spans="1:2" ht="12.75">
      <c r="A25" s="414" t="s">
        <v>524</v>
      </c>
      <c r="B25" t="s">
        <v>537</v>
      </c>
    </row>
    <row r="26" spans="1:2" ht="12.75">
      <c r="A26" s="414" t="s">
        <v>525</v>
      </c>
      <c r="B26" t="s">
        <v>538</v>
      </c>
    </row>
    <row r="27" spans="1:2" ht="12.75">
      <c r="A27" s="414" t="s">
        <v>526</v>
      </c>
      <c r="B27" t="s">
        <v>539</v>
      </c>
    </row>
    <row r="28" spans="1:2" ht="12.75">
      <c r="A28" s="414" t="s">
        <v>527</v>
      </c>
      <c r="B28" t="s">
        <v>540</v>
      </c>
    </row>
    <row r="29" spans="1:2" ht="12.75">
      <c r="A29" s="414" t="s">
        <v>528</v>
      </c>
      <c r="B29" t="s">
        <v>541</v>
      </c>
    </row>
    <row r="30" spans="1:2" ht="12.75">
      <c r="A30" s="414" t="s">
        <v>529</v>
      </c>
      <c r="B30" t="s">
        <v>630</v>
      </c>
    </row>
    <row r="31" spans="1:2" ht="12.75">
      <c r="A31" s="414" t="s">
        <v>629</v>
      </c>
      <c r="B31" t="s">
        <v>542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C13" sqref="C13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08" t="s">
        <v>420</v>
      </c>
      <c r="B1" s="59"/>
      <c r="C1" s="59"/>
      <c r="D1" s="59"/>
      <c r="E1" s="209" t="s">
        <v>84</v>
      </c>
    </row>
    <row r="2" spans="1:5" ht="12.75">
      <c r="A2" s="59"/>
      <c r="B2" s="59"/>
      <c r="C2" s="59"/>
      <c r="D2" s="59"/>
      <c r="E2" s="59"/>
    </row>
    <row r="3" spans="1:5" ht="12.75">
      <c r="A3" s="210"/>
      <c r="B3" s="211"/>
      <c r="C3" s="210"/>
      <c r="D3" s="212"/>
      <c r="E3" s="211"/>
    </row>
    <row r="4" spans="1:5" ht="15">
      <c r="A4" s="61" t="str">
        <f>+RM_ÖSSZEFÜGGÉSEK!A6</f>
        <v>2023.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389</v>
      </c>
      <c r="B6" s="211">
        <f>+'1.sz.mell.'!C70</f>
        <v>563046725</v>
      </c>
      <c r="C6" s="210" t="s">
        <v>369</v>
      </c>
      <c r="D6" s="212">
        <f>+'5.sz.mell.'!C18+'6.sz.mell.'!C17</f>
        <v>563046725</v>
      </c>
      <c r="E6" s="211">
        <f>+B6-D6</f>
        <v>0</v>
      </c>
    </row>
    <row r="7" spans="1:5" ht="12.75">
      <c r="A7" s="210" t="s">
        <v>405</v>
      </c>
      <c r="B7" s="211">
        <f>+'1.sz.mell.'!C94</f>
        <v>247486468</v>
      </c>
      <c r="C7" s="210" t="s">
        <v>375</v>
      </c>
      <c r="D7" s="212">
        <f>+'5.sz.mell.'!C29+'6.sz.mell.'!C30</f>
        <v>247486468</v>
      </c>
      <c r="E7" s="211">
        <f>+B7-D7</f>
        <v>0</v>
      </c>
    </row>
    <row r="8" spans="1:5" ht="12.75">
      <c r="A8" s="210" t="s">
        <v>406</v>
      </c>
      <c r="B8" s="211">
        <f>+'1.sz.mell.'!C95</f>
        <v>810533193</v>
      </c>
      <c r="C8" s="210" t="s">
        <v>376</v>
      </c>
      <c r="D8" s="212">
        <f>+'5.sz.mell.'!C30+'6.sz.mell.'!C31</f>
        <v>810533193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">
      <c r="A10" s="61" t="str">
        <f>+RM_ÖSSZEFÜGGÉSEK!A13</f>
        <v>2023.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390</v>
      </c>
      <c r="B12" s="211">
        <f>+'1.sz.mell.'!J70</f>
        <v>156351776</v>
      </c>
      <c r="C12" s="210" t="s">
        <v>370</v>
      </c>
      <c r="D12" s="212">
        <f>+'5.sz.mell.'!D18+'6.sz.mell.'!D17</f>
        <v>156351776</v>
      </c>
      <c r="E12" s="211">
        <f>+B12-D12</f>
        <v>0</v>
      </c>
    </row>
    <row r="13" spans="1:5" ht="12.75">
      <c r="A13" s="210" t="s">
        <v>391</v>
      </c>
      <c r="B13" s="211">
        <f>+'1.sz.mell.'!J94</f>
        <v>16792888</v>
      </c>
      <c r="C13" s="210" t="s">
        <v>377</v>
      </c>
      <c r="D13" s="212">
        <f>+'5.sz.mell.'!D29+'6.sz.mell.'!D30</f>
        <v>16792888</v>
      </c>
      <c r="E13" s="211">
        <f>+B13-D13</f>
        <v>0</v>
      </c>
    </row>
    <row r="14" spans="1:5" ht="12.75">
      <c r="A14" s="210" t="s">
        <v>392</v>
      </c>
      <c r="B14" s="211">
        <f>+'1.sz.mell.'!J95</f>
        <v>173144664</v>
      </c>
      <c r="C14" s="210" t="s">
        <v>378</v>
      </c>
      <c r="D14" s="212">
        <f>+'5.sz.mell.'!D30+'6.sz.mell.'!D31</f>
        <v>173144664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3.5">
      <c r="A16" s="215" t="str">
        <f>+RM_ÖSSZEFÜGGÉSEK!A19</f>
        <v>2023. módosítás utáni módosított előrirányzatok BEVÉTELEK</v>
      </c>
      <c r="B16" s="60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393</v>
      </c>
      <c r="B18" s="211">
        <f>+'1.sz.mell.'!K70</f>
        <v>719398501</v>
      </c>
      <c r="C18" s="210" t="s">
        <v>371</v>
      </c>
      <c r="D18" s="212">
        <f>+'5.sz.mell.'!E18+'6.sz.mell.'!E17</f>
        <v>719398501</v>
      </c>
      <c r="E18" s="211">
        <f>+B18-D18</f>
        <v>0</v>
      </c>
    </row>
    <row r="19" spans="1:5" ht="12.75">
      <c r="A19" s="210" t="s">
        <v>394</v>
      </c>
      <c r="B19" s="211">
        <f>+'1.sz.mell.'!K94</f>
        <v>264279356</v>
      </c>
      <c r="C19" s="210" t="s">
        <v>379</v>
      </c>
      <c r="D19" s="212">
        <f>+'5.sz.mell.'!E29+'6.sz.mell.'!E30</f>
        <v>264279356</v>
      </c>
      <c r="E19" s="211">
        <f>+B19-D19</f>
        <v>0</v>
      </c>
    </row>
    <row r="20" spans="1:5" ht="12.75">
      <c r="A20" s="210" t="s">
        <v>395</v>
      </c>
      <c r="B20" s="211">
        <f>+'1.sz.mell.'!K95</f>
        <v>983677857</v>
      </c>
      <c r="C20" s="210" t="s">
        <v>380</v>
      </c>
      <c r="D20" s="212">
        <f>+'5.sz.mell.'!E30+'6.sz.mell.'!E31</f>
        <v>983677857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">
      <c r="A22" s="61" t="str">
        <f>+RM_ÖSSZEFÜGGÉSEK!A25</f>
        <v>2023.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407</v>
      </c>
      <c r="B24" s="211">
        <f>+'1.sz.mell.'!C137</f>
        <v>805055527</v>
      </c>
      <c r="C24" s="210" t="s">
        <v>372</v>
      </c>
      <c r="D24" s="212">
        <f>+'5.sz.mell.'!G18+'6.sz.mell.'!G17</f>
        <v>805055527</v>
      </c>
      <c r="E24" s="211">
        <f>+B24-D24</f>
        <v>0</v>
      </c>
    </row>
    <row r="25" spans="1:5" ht="12.75">
      <c r="A25" s="210" t="s">
        <v>397</v>
      </c>
      <c r="B25" s="211">
        <f>+'1.sz.mell.'!C162</f>
        <v>5477666</v>
      </c>
      <c r="C25" s="210" t="s">
        <v>381</v>
      </c>
      <c r="D25" s="212">
        <f>+'5.sz.mell.'!G29+'6.sz.mell.'!G30</f>
        <v>5477666</v>
      </c>
      <c r="E25" s="211">
        <f>+B25-D25</f>
        <v>0</v>
      </c>
    </row>
    <row r="26" spans="1:5" ht="12.75">
      <c r="A26" s="210" t="s">
        <v>398</v>
      </c>
      <c r="B26" s="211">
        <f>+'1.sz.mell.'!C163</f>
        <v>810533193</v>
      </c>
      <c r="C26" s="210" t="s">
        <v>382</v>
      </c>
      <c r="D26" s="212">
        <f>+'5.sz.mell.'!G30+'6.sz.mell.'!G31</f>
        <v>810533193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">
      <c r="A28" s="61" t="str">
        <f>+RM_ÖSSZEFÜGGÉSEK!A31</f>
        <v>2023.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399</v>
      </c>
      <c r="B30" s="211">
        <f>+'1.sz.mell.'!J137</f>
        <v>173144664</v>
      </c>
      <c r="C30" s="210" t="s">
        <v>373</v>
      </c>
      <c r="D30" s="212">
        <f>+'5.sz.mell.'!H18+'6.sz.mell.'!H17</f>
        <v>173144664</v>
      </c>
      <c r="E30" s="211">
        <f>+B30-D30</f>
        <v>0</v>
      </c>
    </row>
    <row r="31" spans="1:5" ht="12.75">
      <c r="A31" s="210" t="s">
        <v>400</v>
      </c>
      <c r="B31" s="211">
        <f>+'1.sz.mell.'!J162</f>
        <v>0</v>
      </c>
      <c r="C31" s="210" t="s">
        <v>383</v>
      </c>
      <c r="D31" s="212">
        <f>+'5.sz.mell.'!H29+'6.sz.mell.'!H30</f>
        <v>0</v>
      </c>
      <c r="E31" s="211">
        <f>+B31-D31</f>
        <v>0</v>
      </c>
    </row>
    <row r="32" spans="1:5" ht="12.75">
      <c r="A32" s="210" t="s">
        <v>401</v>
      </c>
      <c r="B32" s="211">
        <f>+'1.sz.mell.'!J163</f>
        <v>173144664</v>
      </c>
      <c r="C32" s="210" t="s">
        <v>384</v>
      </c>
      <c r="D32" s="212">
        <f>+'5.sz.mell.'!H30+'6.sz.mell.'!H31</f>
        <v>173144664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">
      <c r="A34" s="216" t="str">
        <f>+RM_ÖSSZEFÜGGÉSEK!A37</f>
        <v>2023.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402</v>
      </c>
      <c r="B36" s="211">
        <f>+'1.sz.mell.'!K137</f>
        <v>978200191</v>
      </c>
      <c r="C36" s="210" t="s">
        <v>374</v>
      </c>
      <c r="D36" s="212">
        <f>+'5.sz.mell.'!I18+'6.sz.mell.'!I17</f>
        <v>978200191</v>
      </c>
      <c r="E36" s="211">
        <f>+B36-D36</f>
        <v>0</v>
      </c>
    </row>
    <row r="37" spans="1:5" ht="12.75">
      <c r="A37" s="210" t="s">
        <v>403</v>
      </c>
      <c r="B37" s="211">
        <f>+'1.sz.mell.'!K162</f>
        <v>5477666</v>
      </c>
      <c r="C37" s="210" t="s">
        <v>385</v>
      </c>
      <c r="D37" s="212">
        <f>+'5.sz.mell.'!I29+'6.sz.mell.'!I30</f>
        <v>5477666</v>
      </c>
      <c r="E37" s="211">
        <f>+B37-D37</f>
        <v>0</v>
      </c>
    </row>
    <row r="38" spans="1:5" ht="12.75">
      <c r="A38" s="210" t="s">
        <v>408</v>
      </c>
      <c r="B38" s="211">
        <f>+'1.sz.mell.'!K163</f>
        <v>983677857</v>
      </c>
      <c r="C38" s="210" t="s">
        <v>386</v>
      </c>
      <c r="D38" s="212">
        <f>+'5.sz.mell.'!I30+'6.sz.mell.'!I31</f>
        <v>983677857</v>
      </c>
      <c r="E38" s="211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8"/>
  <sheetViews>
    <sheetView workbookViewId="0" topLeftCell="A4">
      <selection activeCell="K17" sqref="K16:K17"/>
    </sheetView>
  </sheetViews>
  <sheetFormatPr defaultColWidth="9.375" defaultRowHeight="12.75"/>
  <cols>
    <col min="1" max="1" width="38.75390625" style="27" customWidth="1"/>
    <col min="2" max="10" width="15.75390625" style="26" customWidth="1"/>
    <col min="11" max="11" width="15.75390625" style="33" customWidth="1"/>
    <col min="12" max="13" width="12.75390625" style="26" customWidth="1"/>
    <col min="14" max="14" width="13.75390625" style="26" customWidth="1"/>
    <col min="15" max="16384" width="9.375" style="26" customWidth="1"/>
  </cols>
  <sheetData>
    <row r="1" spans="3:11" ht="13.5">
      <c r="C1" s="556" t="str">
        <f>CONCATENATE("7. melléklet ",RM_ALAPADATOK!A7," ",RM_ALAPADATOK!B7," ",RM_ALAPADATOK!C7," ",RM_ALAPADATOK!D7," ",RM_ALAPADATOK!E7," ",RM_ALAPADATOK!F7," ",RM_ALAPADATOK!G7," ",RM_ALAPADATOK!H7)</f>
        <v>7. melléklet a  / 2023 ( … ) önkormányzati rendelethez</v>
      </c>
      <c r="D1" s="557"/>
      <c r="E1" s="557"/>
      <c r="F1" s="557"/>
      <c r="G1" s="557"/>
      <c r="H1" s="557"/>
      <c r="I1" s="557"/>
      <c r="J1" s="557"/>
      <c r="K1" s="557"/>
    </row>
    <row r="3" spans="1:11" ht="25.5" customHeight="1">
      <c r="A3" s="555" t="s">
        <v>437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 ht="22.5" customHeight="1" thickBot="1">
      <c r="A4" s="54"/>
      <c r="B4" s="33"/>
      <c r="C4" s="33"/>
      <c r="D4" s="33"/>
      <c r="E4" s="33"/>
      <c r="F4" s="33"/>
      <c r="G4" s="33"/>
      <c r="H4" s="33"/>
      <c r="I4" s="33"/>
      <c r="J4" s="33"/>
      <c r="K4" s="30" t="str">
        <f>'6.sz.mell.'!I2</f>
        <v>Forintban!</v>
      </c>
    </row>
    <row r="5" spans="1:11" s="28" customFormat="1" ht="44.25" customHeight="1" thickBot="1">
      <c r="A5" s="55" t="s">
        <v>42</v>
      </c>
      <c r="B5" s="434" t="s">
        <v>43</v>
      </c>
      <c r="C5" s="434" t="s">
        <v>44</v>
      </c>
      <c r="D5" s="434" t="str">
        <f>+CONCATENATE("Felhasználás   ",LEFT(RM_ÖSSZEFÜGGÉSEK!A6,4)-1,". XII. 31-ig")</f>
        <v>Felhasználás   2022. XII. 31-ig</v>
      </c>
      <c r="E5" s="434" t="str">
        <f>+CONCATENATE(LEFT(RM_ÖSSZEFÜGGÉSEK!A6,4),". évi",CHAR(10),"eredeti előirányzat")</f>
        <v>2023. évi
eredeti előirányzat</v>
      </c>
      <c r="F5" s="294" t="s">
        <v>558</v>
      </c>
      <c r="G5" s="294" t="s">
        <v>559</v>
      </c>
      <c r="H5" s="294" t="s">
        <v>631</v>
      </c>
      <c r="I5" s="294" t="s">
        <v>635</v>
      </c>
      <c r="J5" s="294" t="s">
        <v>602</v>
      </c>
      <c r="K5" s="295" t="s">
        <v>634</v>
      </c>
    </row>
    <row r="6" spans="1:11" s="33" customFormat="1" ht="12" customHeight="1">
      <c r="A6" s="517" t="s">
        <v>341</v>
      </c>
      <c r="B6" s="514" t="s">
        <v>342</v>
      </c>
      <c r="C6" s="514" t="s">
        <v>343</v>
      </c>
      <c r="D6" s="514" t="s">
        <v>345</v>
      </c>
      <c r="E6" s="514" t="s">
        <v>344</v>
      </c>
      <c r="F6" s="514" t="s">
        <v>346</v>
      </c>
      <c r="G6" s="514" t="s">
        <v>347</v>
      </c>
      <c r="H6" s="514" t="s">
        <v>348</v>
      </c>
      <c r="I6" s="514" t="s">
        <v>434</v>
      </c>
      <c r="J6" s="515" t="s">
        <v>636</v>
      </c>
      <c r="K6" s="516" t="s">
        <v>637</v>
      </c>
    </row>
    <row r="7" spans="1:11" s="33" customFormat="1" ht="12" customHeight="1">
      <c r="A7" s="518" t="s">
        <v>639</v>
      </c>
      <c r="B7" s="519">
        <v>146999</v>
      </c>
      <c r="C7" s="520">
        <v>2023</v>
      </c>
      <c r="D7" s="521"/>
      <c r="E7" s="521"/>
      <c r="F7" s="521"/>
      <c r="G7" s="521"/>
      <c r="H7" s="521"/>
      <c r="I7" s="519">
        <v>146999</v>
      </c>
      <c r="J7" s="522">
        <f aca="true" t="shared" si="0" ref="J7:J12">F7+G7+H7+I7</f>
        <v>146999</v>
      </c>
      <c r="K7" s="522">
        <f>E7+I7</f>
        <v>146999</v>
      </c>
    </row>
    <row r="8" spans="1:11" s="33" customFormat="1" ht="12" customHeight="1">
      <c r="A8" s="518" t="s">
        <v>640</v>
      </c>
      <c r="B8" s="519">
        <v>206700</v>
      </c>
      <c r="C8" s="520">
        <v>2023</v>
      </c>
      <c r="D8" s="521"/>
      <c r="E8" s="521"/>
      <c r="F8" s="521"/>
      <c r="G8" s="521"/>
      <c r="H8" s="521"/>
      <c r="I8" s="519">
        <v>206700</v>
      </c>
      <c r="J8" s="522">
        <f t="shared" si="0"/>
        <v>206700</v>
      </c>
      <c r="K8" s="522">
        <f>E8+I8</f>
        <v>206700</v>
      </c>
    </row>
    <row r="9" spans="1:11" s="33" customFormat="1" ht="12" customHeight="1">
      <c r="A9" s="518" t="s">
        <v>642</v>
      </c>
      <c r="B9" s="519">
        <v>27999</v>
      </c>
      <c r="C9" s="520">
        <v>2023</v>
      </c>
      <c r="D9" s="521"/>
      <c r="E9" s="521"/>
      <c r="F9" s="521"/>
      <c r="G9" s="521"/>
      <c r="H9" s="521"/>
      <c r="I9" s="519">
        <v>27999</v>
      </c>
      <c r="J9" s="522">
        <f t="shared" si="0"/>
        <v>27999</v>
      </c>
      <c r="K9" s="522">
        <f>E9+I9</f>
        <v>27999</v>
      </c>
    </row>
    <row r="10" spans="1:11" s="33" customFormat="1" ht="12" customHeight="1">
      <c r="A10" s="518" t="s">
        <v>643</v>
      </c>
      <c r="B10" s="519">
        <v>16991</v>
      </c>
      <c r="C10" s="520">
        <v>2023</v>
      </c>
      <c r="D10" s="521"/>
      <c r="E10" s="521"/>
      <c r="F10" s="521"/>
      <c r="G10" s="521"/>
      <c r="H10" s="521"/>
      <c r="I10" s="519">
        <v>16991</v>
      </c>
      <c r="J10" s="522">
        <f t="shared" si="0"/>
        <v>16991</v>
      </c>
      <c r="K10" s="522">
        <f>E10+I10</f>
        <v>16991</v>
      </c>
    </row>
    <row r="11" spans="1:11" s="33" customFormat="1" ht="12" customHeight="1">
      <c r="A11" s="518" t="s">
        <v>641</v>
      </c>
      <c r="B11" s="519">
        <v>71518</v>
      </c>
      <c r="C11" s="520">
        <v>2023</v>
      </c>
      <c r="D11" s="521"/>
      <c r="E11" s="521"/>
      <c r="F11" s="521"/>
      <c r="G11" s="521"/>
      <c r="H11" s="521"/>
      <c r="I11" s="519">
        <v>71518</v>
      </c>
      <c r="J11" s="522">
        <f t="shared" si="0"/>
        <v>71518</v>
      </c>
      <c r="K11" s="522">
        <f>E11+I11</f>
        <v>71518</v>
      </c>
    </row>
    <row r="12" spans="1:11" ht="15.75" customHeight="1">
      <c r="A12" s="171" t="s">
        <v>560</v>
      </c>
      <c r="B12" s="20">
        <v>635000</v>
      </c>
      <c r="C12" s="173" t="s">
        <v>561</v>
      </c>
      <c r="D12" s="20"/>
      <c r="E12" s="20">
        <v>635000</v>
      </c>
      <c r="F12" s="20"/>
      <c r="G12" s="20"/>
      <c r="H12" s="20"/>
      <c r="I12" s="20"/>
      <c r="J12" s="20">
        <f t="shared" si="0"/>
        <v>0</v>
      </c>
      <c r="K12" s="34">
        <f>E12+J12</f>
        <v>635000</v>
      </c>
    </row>
    <row r="13" spans="1:11" ht="25.5" customHeight="1">
      <c r="A13" s="171" t="s">
        <v>562</v>
      </c>
      <c r="B13" s="20">
        <v>1800500</v>
      </c>
      <c r="C13" s="173" t="s">
        <v>561</v>
      </c>
      <c r="D13" s="20"/>
      <c r="E13" s="20">
        <v>1800500</v>
      </c>
      <c r="F13" s="20"/>
      <c r="G13" s="20"/>
      <c r="H13" s="20"/>
      <c r="I13" s="20"/>
      <c r="J13" s="20">
        <f aca="true" t="shared" si="1" ref="J13:J27">F13+G13+H13+I13</f>
        <v>0</v>
      </c>
      <c r="K13" s="34">
        <f aca="true" t="shared" si="2" ref="K13:K27">E13+J13</f>
        <v>1800500</v>
      </c>
    </row>
    <row r="14" spans="1:11" ht="15.75" customHeight="1">
      <c r="A14" s="171" t="s">
        <v>563</v>
      </c>
      <c r="B14" s="20">
        <v>63500</v>
      </c>
      <c r="C14" s="173" t="s">
        <v>561</v>
      </c>
      <c r="D14" s="20"/>
      <c r="E14" s="20">
        <v>63500</v>
      </c>
      <c r="F14" s="20"/>
      <c r="G14" s="20"/>
      <c r="H14" s="20"/>
      <c r="I14" s="20"/>
      <c r="J14" s="20">
        <f t="shared" si="1"/>
        <v>0</v>
      </c>
      <c r="K14" s="34">
        <f t="shared" si="2"/>
        <v>63500</v>
      </c>
    </row>
    <row r="15" spans="1:11" ht="15.75" customHeight="1">
      <c r="A15" s="482" t="s">
        <v>564</v>
      </c>
      <c r="B15" s="21">
        <v>458700</v>
      </c>
      <c r="C15" s="174" t="s">
        <v>561</v>
      </c>
      <c r="D15" s="21"/>
      <c r="E15" s="21">
        <v>458700</v>
      </c>
      <c r="F15" s="21"/>
      <c r="G15" s="21"/>
      <c r="H15" s="21"/>
      <c r="I15" s="21"/>
      <c r="J15" s="20">
        <f t="shared" si="1"/>
        <v>0</v>
      </c>
      <c r="K15" s="34">
        <f t="shared" si="2"/>
        <v>458700</v>
      </c>
    </row>
    <row r="16" spans="1:11" ht="15.75" customHeight="1">
      <c r="A16" s="483" t="s">
        <v>603</v>
      </c>
      <c r="B16" s="20">
        <v>190500</v>
      </c>
      <c r="C16" s="174" t="s">
        <v>561</v>
      </c>
      <c r="D16" s="21"/>
      <c r="E16" s="21"/>
      <c r="F16" s="21"/>
      <c r="G16" s="20">
        <v>190500</v>
      </c>
      <c r="H16" s="20"/>
      <c r="I16" s="20"/>
      <c r="J16" s="20">
        <f t="shared" si="1"/>
        <v>190500</v>
      </c>
      <c r="K16" s="34">
        <f t="shared" si="2"/>
        <v>190500</v>
      </c>
    </row>
    <row r="17" spans="1:11" ht="15.75" customHeight="1">
      <c r="A17" s="483" t="s">
        <v>604</v>
      </c>
      <c r="B17" s="20">
        <v>800100</v>
      </c>
      <c r="C17" s="174" t="s">
        <v>561</v>
      </c>
      <c r="D17" s="21"/>
      <c r="E17" s="21"/>
      <c r="F17" s="21"/>
      <c r="G17" s="20">
        <v>800100</v>
      </c>
      <c r="H17" s="20"/>
      <c r="I17" s="20"/>
      <c r="J17" s="20">
        <f t="shared" si="1"/>
        <v>800100</v>
      </c>
      <c r="K17" s="34">
        <f t="shared" si="2"/>
        <v>800100</v>
      </c>
    </row>
    <row r="18" spans="1:11" ht="15.75" customHeight="1">
      <c r="A18" s="483" t="s">
        <v>605</v>
      </c>
      <c r="B18" s="20">
        <v>589280</v>
      </c>
      <c r="C18" s="173" t="s">
        <v>561</v>
      </c>
      <c r="D18" s="20"/>
      <c r="E18" s="20"/>
      <c r="F18" s="20"/>
      <c r="G18" s="20">
        <v>589280</v>
      </c>
      <c r="H18" s="20"/>
      <c r="I18" s="20"/>
      <c r="J18" s="20">
        <f t="shared" si="1"/>
        <v>589280</v>
      </c>
      <c r="K18" s="282">
        <f t="shared" si="2"/>
        <v>589280</v>
      </c>
    </row>
    <row r="19" spans="1:11" ht="27.75" customHeight="1" thickBot="1">
      <c r="A19" s="524" t="s">
        <v>644</v>
      </c>
      <c r="B19" s="467">
        <v>928388</v>
      </c>
      <c r="C19" s="468" t="s">
        <v>561</v>
      </c>
      <c r="D19" s="467"/>
      <c r="E19" s="467"/>
      <c r="F19" s="467"/>
      <c r="G19" s="467"/>
      <c r="H19" s="467"/>
      <c r="I19" s="467">
        <v>928388</v>
      </c>
      <c r="J19" s="467">
        <f t="shared" si="1"/>
        <v>928388</v>
      </c>
      <c r="K19" s="473">
        <f t="shared" si="2"/>
        <v>928388</v>
      </c>
    </row>
    <row r="20" spans="1:11" ht="15.75" customHeight="1">
      <c r="A20" s="469" t="s">
        <v>565</v>
      </c>
      <c r="B20" s="470">
        <v>3417000</v>
      </c>
      <c r="C20" s="471" t="s">
        <v>561</v>
      </c>
      <c r="D20" s="470"/>
      <c r="E20" s="470">
        <v>3417000</v>
      </c>
      <c r="F20" s="470"/>
      <c r="G20" s="470"/>
      <c r="H20" s="470"/>
      <c r="I20" s="470"/>
      <c r="J20" s="470">
        <f t="shared" si="1"/>
        <v>0</v>
      </c>
      <c r="K20" s="472">
        <f t="shared" si="2"/>
        <v>3417000</v>
      </c>
    </row>
    <row r="21" spans="1:11" ht="15.75" customHeight="1">
      <c r="A21" s="172" t="s">
        <v>566</v>
      </c>
      <c r="B21" s="20">
        <v>292100</v>
      </c>
      <c r="C21" s="173" t="s">
        <v>561</v>
      </c>
      <c r="D21" s="20"/>
      <c r="E21" s="20">
        <v>292100</v>
      </c>
      <c r="F21" s="20"/>
      <c r="G21" s="20"/>
      <c r="H21" s="20"/>
      <c r="I21" s="20"/>
      <c r="J21" s="20">
        <f t="shared" si="1"/>
        <v>0</v>
      </c>
      <c r="K21" s="34">
        <f t="shared" si="2"/>
        <v>292100</v>
      </c>
    </row>
    <row r="22" spans="1:11" ht="15.75" customHeight="1">
      <c r="A22" s="171" t="s">
        <v>567</v>
      </c>
      <c r="B22" s="20">
        <v>5000000</v>
      </c>
      <c r="C22" s="173" t="s">
        <v>561</v>
      </c>
      <c r="D22" s="20"/>
      <c r="E22" s="20">
        <v>5000000</v>
      </c>
      <c r="F22" s="20"/>
      <c r="G22" s="20"/>
      <c r="H22" s="20"/>
      <c r="I22" s="20"/>
      <c r="J22" s="20">
        <f t="shared" si="1"/>
        <v>0</v>
      </c>
      <c r="K22" s="34">
        <f t="shared" si="2"/>
        <v>5000000</v>
      </c>
    </row>
    <row r="23" spans="1:11" ht="15.75" customHeight="1">
      <c r="A23" s="171" t="s">
        <v>568</v>
      </c>
      <c r="B23" s="20">
        <v>200577956</v>
      </c>
      <c r="C23" s="173" t="s">
        <v>569</v>
      </c>
      <c r="D23" s="20"/>
      <c r="E23" s="20">
        <v>93314896</v>
      </c>
      <c r="F23" s="20"/>
      <c r="G23" s="20">
        <v>102796090</v>
      </c>
      <c r="H23" s="20"/>
      <c r="I23" s="20"/>
      <c r="J23" s="20">
        <f t="shared" si="1"/>
        <v>102796090</v>
      </c>
      <c r="K23" s="34">
        <f t="shared" si="2"/>
        <v>196110986</v>
      </c>
    </row>
    <row r="24" spans="1:11" ht="15.75" customHeight="1">
      <c r="A24" s="171" t="s">
        <v>570</v>
      </c>
      <c r="B24" s="20">
        <v>12815000</v>
      </c>
      <c r="C24" s="173" t="s">
        <v>561</v>
      </c>
      <c r="D24" s="20"/>
      <c r="E24" s="20">
        <v>12815000</v>
      </c>
      <c r="F24" s="20"/>
      <c r="G24" s="20">
        <v>235000</v>
      </c>
      <c r="H24" s="20"/>
      <c r="I24" s="20"/>
      <c r="J24" s="20">
        <f t="shared" si="1"/>
        <v>235000</v>
      </c>
      <c r="K24" s="34">
        <f t="shared" si="2"/>
        <v>13050000</v>
      </c>
    </row>
    <row r="25" spans="1:11" ht="15.75" customHeight="1">
      <c r="A25" s="171" t="s">
        <v>607</v>
      </c>
      <c r="B25" s="20">
        <v>6050000</v>
      </c>
      <c r="C25" s="173" t="s">
        <v>561</v>
      </c>
      <c r="D25" s="20"/>
      <c r="E25" s="20"/>
      <c r="F25" s="20"/>
      <c r="G25" s="20">
        <v>4000000</v>
      </c>
      <c r="H25" s="20"/>
      <c r="I25" s="20"/>
      <c r="J25" s="20">
        <f t="shared" si="1"/>
        <v>4000000</v>
      </c>
      <c r="K25" s="34">
        <f t="shared" si="2"/>
        <v>4000000</v>
      </c>
    </row>
    <row r="26" spans="1:11" ht="15.75" customHeight="1">
      <c r="A26" s="171" t="s">
        <v>645</v>
      </c>
      <c r="B26" s="20"/>
      <c r="C26" s="173" t="s">
        <v>569</v>
      </c>
      <c r="D26" s="20"/>
      <c r="E26" s="20"/>
      <c r="F26" s="20"/>
      <c r="G26" s="20"/>
      <c r="H26" s="20"/>
      <c r="I26" s="127">
        <v>5689600</v>
      </c>
      <c r="J26" s="20">
        <f t="shared" si="1"/>
        <v>5689600</v>
      </c>
      <c r="K26" s="34">
        <f t="shared" si="2"/>
        <v>5689600</v>
      </c>
    </row>
    <row r="27" spans="1:11" ht="19.5" customHeight="1" thickBot="1">
      <c r="A27" s="171" t="s">
        <v>608</v>
      </c>
      <c r="B27" s="20"/>
      <c r="C27" s="173" t="s">
        <v>561</v>
      </c>
      <c r="D27" s="20"/>
      <c r="E27" s="20"/>
      <c r="F27" s="20"/>
      <c r="G27" s="20">
        <v>1250000</v>
      </c>
      <c r="H27" s="20">
        <v>3160304</v>
      </c>
      <c r="I27" s="20"/>
      <c r="J27" s="20">
        <f t="shared" si="1"/>
        <v>4410304</v>
      </c>
      <c r="K27" s="34">
        <f t="shared" si="2"/>
        <v>4410304</v>
      </c>
    </row>
    <row r="28" spans="1:11" s="38" customFormat="1" ht="18" customHeight="1" thickBot="1">
      <c r="A28" s="57" t="s">
        <v>41</v>
      </c>
      <c r="B28" s="36">
        <f>SUM(B12:B27)</f>
        <v>233618024</v>
      </c>
      <c r="C28" s="44"/>
      <c r="D28" s="36">
        <f aca="true" t="shared" si="3" ref="D28:K28">SUM(D12:D27)</f>
        <v>0</v>
      </c>
      <c r="E28" s="36">
        <f t="shared" si="3"/>
        <v>117796696</v>
      </c>
      <c r="F28" s="36">
        <f t="shared" si="3"/>
        <v>0</v>
      </c>
      <c r="G28" s="36">
        <f t="shared" si="3"/>
        <v>109860970</v>
      </c>
      <c r="H28" s="36">
        <f t="shared" si="3"/>
        <v>3160304</v>
      </c>
      <c r="I28" s="36">
        <f t="shared" si="3"/>
        <v>6617988</v>
      </c>
      <c r="J28" s="36">
        <f>SUM(J12:J27)</f>
        <v>119639262</v>
      </c>
      <c r="K28" s="37">
        <f t="shared" si="3"/>
        <v>237435958</v>
      </c>
    </row>
  </sheetData>
  <sheetProtection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0"/>
  <sheetViews>
    <sheetView workbookViewId="0" topLeftCell="A1">
      <selection activeCell="J10" sqref="J10"/>
    </sheetView>
  </sheetViews>
  <sheetFormatPr defaultColWidth="9.375" defaultRowHeight="12.75"/>
  <cols>
    <col min="1" max="1" width="38.75390625" style="27" customWidth="1"/>
    <col min="2" max="10" width="15.75390625" style="26" customWidth="1"/>
    <col min="11" max="11" width="15.75390625" style="33" customWidth="1"/>
    <col min="12" max="13" width="12.75390625" style="26" customWidth="1"/>
    <col min="14" max="14" width="13.75390625" style="26" customWidth="1"/>
    <col min="15" max="16384" width="9.375" style="26" customWidth="1"/>
  </cols>
  <sheetData>
    <row r="1" spans="3:11" ht="13.5">
      <c r="C1" s="556" t="str">
        <f>CONCATENATE("8. melléklet ",RM_ALAPADATOK!A7," ",RM_ALAPADATOK!B7," ",RM_ALAPADATOK!C7," ",RM_ALAPADATOK!D7," ",RM_ALAPADATOK!E7," ",RM_ALAPADATOK!F7," ",RM_ALAPADATOK!G7," ",RM_ALAPADATOK!H7)</f>
        <v>8. melléklet a  / 2023 ( … ) önkormányzati rendelethez</v>
      </c>
      <c r="D1" s="557"/>
      <c r="E1" s="557"/>
      <c r="F1" s="557"/>
      <c r="G1" s="557"/>
      <c r="H1" s="557"/>
      <c r="I1" s="557"/>
      <c r="J1" s="557"/>
      <c r="K1" s="557"/>
    </row>
    <row r="2" spans="1:11" ht="12.75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25.5" customHeight="1">
      <c r="A3" s="555" t="s">
        <v>440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 ht="22.5" customHeight="1" thickBot="1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3" t="str">
        <f>'6.sz.mell.'!I2</f>
        <v>Forintban!</v>
      </c>
    </row>
    <row r="5" spans="1:11" s="28" customFormat="1" ht="44.25" customHeight="1" thickBot="1">
      <c r="A5" s="55" t="s">
        <v>45</v>
      </c>
      <c r="B5" s="56" t="s">
        <v>43</v>
      </c>
      <c r="C5" s="56" t="s">
        <v>44</v>
      </c>
      <c r="D5" s="56" t="str">
        <f>+CONCATENATE("Felhasználás   ",LEFT(RM_ÖSSZEFÜGGÉSEK!A6,4)-1,". XII. 31-ig")</f>
        <v>Felhasználás   2022. XII. 31-ig</v>
      </c>
      <c r="E5" s="56" t="str">
        <f>+CONCATENATE(LEFT(RM_ÖSSZEFÜGGÉSEK!A6,4),". évi",CHAR(10),"eredeti előirányzat")</f>
        <v>2023. évi
eredeti előirányzat</v>
      </c>
      <c r="F5" s="291" t="str">
        <f>CONCATENATE('7.sz.mell.'!F5)</f>
        <v>Eddigi módosítások összege 2023-ben</v>
      </c>
      <c r="G5" s="431" t="str">
        <f>CONCATENATE('7.sz.mell.'!G5)</f>
        <v>I. sz. módosítás</v>
      </c>
      <c r="H5" s="431" t="str">
        <f>CONCATENATE('7.sz.mell.'!H5)</f>
        <v>II. sz. módosítás</v>
      </c>
      <c r="I5" s="431" t="str">
        <f>CONCATENATE('7.sz.mell.'!I5)</f>
        <v>III. sz. módosítás</v>
      </c>
      <c r="J5" s="432" t="str">
        <f>CONCATENATE('7.sz.mell.'!J5)</f>
        <v>Módosítások összesen </v>
      </c>
      <c r="K5" s="433" t="str">
        <f>CONCATENATE('7.sz.mell.'!K5)</f>
        <v>III. számú módosítás utáni előirányzat</v>
      </c>
    </row>
    <row r="6" spans="1:11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296" t="s">
        <v>346</v>
      </c>
      <c r="G6" s="296" t="s">
        <v>347</v>
      </c>
      <c r="H6" s="296" t="s">
        <v>348</v>
      </c>
      <c r="I6" s="296" t="s">
        <v>434</v>
      </c>
      <c r="J6" s="296" t="s">
        <v>636</v>
      </c>
      <c r="K6" s="297" t="s">
        <v>638</v>
      </c>
    </row>
    <row r="7" spans="1:11" ht="15.75" customHeight="1">
      <c r="A7" s="171" t="s">
        <v>606</v>
      </c>
      <c r="B7" s="20">
        <v>3664628</v>
      </c>
      <c r="C7" s="173" t="s">
        <v>561</v>
      </c>
      <c r="D7" s="20"/>
      <c r="E7" s="20"/>
      <c r="F7" s="20"/>
      <c r="G7" s="20">
        <v>3664628</v>
      </c>
      <c r="H7" s="20"/>
      <c r="I7" s="20"/>
      <c r="J7" s="282">
        <f>F7+G7+H7+I7</f>
        <v>3664628</v>
      </c>
      <c r="K7" s="34">
        <f>E7+J7</f>
        <v>3664628</v>
      </c>
    </row>
    <row r="8" spans="1:11" ht="15.75" customHeight="1">
      <c r="A8" s="171"/>
      <c r="B8" s="20"/>
      <c r="C8" s="173"/>
      <c r="D8" s="20"/>
      <c r="E8" s="20"/>
      <c r="F8" s="20"/>
      <c r="G8" s="20"/>
      <c r="H8" s="20"/>
      <c r="I8" s="20"/>
      <c r="J8" s="282">
        <f>F8+G8+H8+I8</f>
        <v>0</v>
      </c>
      <c r="K8" s="34">
        <f>E8+J8</f>
        <v>0</v>
      </c>
    </row>
    <row r="9" spans="1:11" ht="15.75" customHeight="1" thickBot="1">
      <c r="A9" s="171"/>
      <c r="B9" s="20"/>
      <c r="C9" s="173"/>
      <c r="D9" s="20"/>
      <c r="E9" s="20"/>
      <c r="F9" s="20"/>
      <c r="G9" s="20"/>
      <c r="H9" s="20"/>
      <c r="I9" s="20"/>
      <c r="J9" s="282">
        <f>F9+G9+H9+I9</f>
        <v>0</v>
      </c>
      <c r="K9" s="34">
        <f>E9+J9</f>
        <v>0</v>
      </c>
    </row>
    <row r="10" spans="1:11" s="38" customFormat="1" ht="18" customHeight="1" thickBot="1">
      <c r="A10" s="57" t="s">
        <v>41</v>
      </c>
      <c r="B10" s="36">
        <f>SUM(B7:B9)</f>
        <v>3664628</v>
      </c>
      <c r="C10" s="44"/>
      <c r="D10" s="36">
        <f aca="true" t="shared" si="0" ref="D10:K10">SUM(D7:D9)</f>
        <v>0</v>
      </c>
      <c r="E10" s="36">
        <f t="shared" si="0"/>
        <v>0</v>
      </c>
      <c r="F10" s="36">
        <f t="shared" si="0"/>
        <v>0</v>
      </c>
      <c r="G10" s="36">
        <f t="shared" si="0"/>
        <v>3664628</v>
      </c>
      <c r="H10" s="36">
        <f t="shared" si="0"/>
        <v>0</v>
      </c>
      <c r="I10" s="36">
        <f t="shared" si="0"/>
        <v>0</v>
      </c>
      <c r="J10" s="36">
        <f t="shared" si="0"/>
        <v>3664628</v>
      </c>
      <c r="K10" s="37">
        <f t="shared" si="0"/>
        <v>3664628</v>
      </c>
    </row>
  </sheetData>
  <sheetProtection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="110" zoomScaleNormal="120" zoomScaleSheetLayoutView="110" workbookViewId="0" topLeftCell="A55">
      <selection activeCell="F9" sqref="F9:F15"/>
    </sheetView>
  </sheetViews>
  <sheetFormatPr defaultColWidth="9.375" defaultRowHeight="12.75"/>
  <cols>
    <col min="1" max="1" width="12.50390625" style="118" customWidth="1"/>
    <col min="2" max="2" width="62.00390625" style="119" customWidth="1"/>
    <col min="3" max="3" width="15.75390625" style="120" customWidth="1"/>
    <col min="4" max="6" width="14.75390625" style="120" customWidth="1"/>
    <col min="7" max="7" width="14.75390625" style="120" hidden="1" customWidth="1"/>
    <col min="8" max="9" width="14.75390625" style="1" hidden="1" customWidth="1"/>
    <col min="10" max="11" width="15.75390625" style="1" customWidth="1"/>
    <col min="12" max="16384" width="9.375" style="1" customWidth="1"/>
  </cols>
  <sheetData>
    <row r="1" spans="1:11" s="316" customFormat="1" ht="16.5" customHeight="1" thickBot="1">
      <c r="A1" s="400"/>
      <c r="B1" s="569" t="str">
        <f>CONCATENATE("9. melléklet ",RM_ALAPADATOK!A7," ",RM_ALAPADATOK!B7," ",RM_ALAPADATOK!C7," ",RM_ALAPADATOK!D7," ",RM_ALAPADATOK!E7," ",RM_ALAPADATOK!F7," ",RM_ALAPADATOK!G7," ",RM_ALAPADATOK!H7)</f>
        <v>9. melléklet a  / 2023 ( … ) önkormányzati rendelethez</v>
      </c>
      <c r="C1" s="570"/>
      <c r="D1" s="570"/>
      <c r="E1" s="570"/>
      <c r="F1" s="570"/>
      <c r="G1" s="570"/>
      <c r="H1" s="570"/>
      <c r="I1" s="570"/>
      <c r="J1" s="570"/>
      <c r="K1" s="570"/>
    </row>
    <row r="2" spans="1:11" s="318" customFormat="1" ht="15.75" thickBot="1">
      <c r="A2" s="401" t="s">
        <v>39</v>
      </c>
      <c r="B2" s="561" t="str">
        <f>CONCATENATE(RM_ALAPADATOK!A3)</f>
        <v>Balatonvilágos Község Önkormányzata</v>
      </c>
      <c r="C2" s="562"/>
      <c r="D2" s="562"/>
      <c r="E2" s="562"/>
      <c r="F2" s="562"/>
      <c r="G2" s="562"/>
      <c r="H2" s="562"/>
      <c r="I2" s="563"/>
      <c r="J2" s="564"/>
      <c r="K2" s="399" t="s">
        <v>474</v>
      </c>
    </row>
    <row r="3" spans="1:11" s="318" customFormat="1" ht="23.25" thickBot="1">
      <c r="A3" s="401" t="s">
        <v>114</v>
      </c>
      <c r="B3" s="565" t="s">
        <v>443</v>
      </c>
      <c r="C3" s="566"/>
      <c r="D3" s="566"/>
      <c r="E3" s="566"/>
      <c r="F3" s="566"/>
      <c r="G3" s="566"/>
      <c r="H3" s="566"/>
      <c r="I3" s="567"/>
      <c r="J3" s="568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">
        <v>634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58" t="s">
        <v>35</v>
      </c>
      <c r="B7" s="559"/>
      <c r="C7" s="559"/>
      <c r="D7" s="559"/>
      <c r="E7" s="559"/>
      <c r="F7" s="559"/>
      <c r="G7" s="559"/>
      <c r="H7" s="559"/>
      <c r="I7" s="559"/>
      <c r="J7" s="559"/>
      <c r="K7" s="560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K8">+D9+D10+D11+D12+D13+D15+D14</f>
        <v>8200770</v>
      </c>
      <c r="E8" s="192">
        <f t="shared" si="0"/>
        <v>1286489</v>
      </c>
      <c r="F8" s="192">
        <f t="shared" si="0"/>
        <v>36089384</v>
      </c>
      <c r="G8" s="192">
        <f t="shared" si="0"/>
        <v>0</v>
      </c>
      <c r="H8" s="192">
        <f t="shared" si="0"/>
        <v>0</v>
      </c>
      <c r="I8" s="192">
        <f t="shared" si="0"/>
        <v>0</v>
      </c>
      <c r="J8" s="192">
        <f t="shared" si="0"/>
        <v>45576643</v>
      </c>
      <c r="K8" s="252">
        <f t="shared" si="0"/>
        <v>182518289</v>
      </c>
    </row>
    <row r="9" spans="1:11" s="41" customFormat="1" ht="12" customHeight="1">
      <c r="A9" s="152" t="s">
        <v>58</v>
      </c>
      <c r="B9" s="138" t="s">
        <v>138</v>
      </c>
      <c r="C9" s="456">
        <v>39387383</v>
      </c>
      <c r="D9" s="193"/>
      <c r="E9" s="193"/>
      <c r="F9" s="193">
        <v>4300000</v>
      </c>
      <c r="G9" s="193"/>
      <c r="H9" s="193"/>
      <c r="I9" s="127"/>
      <c r="J9" s="166">
        <f>D9+E9+F9+G9+H9+I9</f>
        <v>4300000</v>
      </c>
      <c r="K9" s="253">
        <f aca="true" t="shared" si="1" ref="K9:K15">C9+J9</f>
        <v>43687383</v>
      </c>
    </row>
    <row r="10" spans="1:11" s="42" customFormat="1" ht="12" customHeight="1">
      <c r="A10" s="153" t="s">
        <v>59</v>
      </c>
      <c r="B10" s="139" t="s">
        <v>139</v>
      </c>
      <c r="C10" s="457">
        <v>55200800</v>
      </c>
      <c r="D10" s="194">
        <v>-6256880</v>
      </c>
      <c r="E10" s="194"/>
      <c r="F10" s="194">
        <v>7700532</v>
      </c>
      <c r="G10" s="194"/>
      <c r="H10" s="194"/>
      <c r="I10" s="126"/>
      <c r="J10" s="166">
        <f aca="true" t="shared" si="2" ref="J10:J66">D10+E10+F10+G10+H10+I10</f>
        <v>1443652</v>
      </c>
      <c r="K10" s="253">
        <f t="shared" si="1"/>
        <v>56644452</v>
      </c>
    </row>
    <row r="11" spans="1:11" s="42" customFormat="1" ht="12" customHeight="1">
      <c r="A11" s="153" t="s">
        <v>60</v>
      </c>
      <c r="B11" s="139" t="s">
        <v>140</v>
      </c>
      <c r="C11" s="457">
        <v>8094700</v>
      </c>
      <c r="D11" s="194">
        <v>-369050</v>
      </c>
      <c r="E11" s="194"/>
      <c r="F11" s="194">
        <v>1451292</v>
      </c>
      <c r="G11" s="194"/>
      <c r="H11" s="194"/>
      <c r="I11" s="126"/>
      <c r="J11" s="166">
        <f t="shared" si="2"/>
        <v>1082242</v>
      </c>
      <c r="K11" s="253">
        <f t="shared" si="1"/>
        <v>9176942</v>
      </c>
    </row>
    <row r="12" spans="1:11" s="42" customFormat="1" ht="12" customHeight="1">
      <c r="A12" s="153" t="s">
        <v>61</v>
      </c>
      <c r="B12" s="139" t="s">
        <v>546</v>
      </c>
      <c r="C12" s="457">
        <v>30999014</v>
      </c>
      <c r="D12" s="194"/>
      <c r="E12" s="194"/>
      <c r="F12" s="194">
        <v>12276634</v>
      </c>
      <c r="G12" s="194"/>
      <c r="H12" s="194"/>
      <c r="I12" s="126"/>
      <c r="J12" s="166">
        <f t="shared" si="2"/>
        <v>12276634</v>
      </c>
      <c r="K12" s="253">
        <f>C12+J12</f>
        <v>43275648</v>
      </c>
    </row>
    <row r="13" spans="1:11" s="42" customFormat="1" ht="12" customHeight="1">
      <c r="A13" s="153" t="s">
        <v>78</v>
      </c>
      <c r="B13" s="139" t="s">
        <v>141</v>
      </c>
      <c r="C13" s="457">
        <v>3259749</v>
      </c>
      <c r="D13" s="194"/>
      <c r="E13" s="194"/>
      <c r="F13" s="194">
        <v>1087928</v>
      </c>
      <c r="G13" s="194"/>
      <c r="H13" s="194"/>
      <c r="I13" s="126"/>
      <c r="J13" s="166">
        <f t="shared" si="2"/>
        <v>1087928</v>
      </c>
      <c r="K13" s="253">
        <f t="shared" si="1"/>
        <v>4347677</v>
      </c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>
        <v>1200150</v>
      </c>
      <c r="F14" s="194"/>
      <c r="G14" s="194"/>
      <c r="H14" s="194"/>
      <c r="I14" s="126"/>
      <c r="J14" s="166">
        <f t="shared" si="2"/>
        <v>16026850</v>
      </c>
      <c r="K14" s="253">
        <f t="shared" si="1"/>
        <v>16026850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>
        <v>86339</v>
      </c>
      <c r="F15" s="194">
        <v>9272998</v>
      </c>
      <c r="G15" s="194"/>
      <c r="H15" s="194"/>
      <c r="I15" s="126"/>
      <c r="J15" s="166">
        <f t="shared" si="2"/>
        <v>9359337</v>
      </c>
      <c r="K15" s="253">
        <f t="shared" si="1"/>
        <v>9359337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4915622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6965622</v>
      </c>
      <c r="K16" s="252">
        <f t="shared" si="3"/>
        <v>26950598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57">
        <v>19984976</v>
      </c>
      <c r="D21" s="194">
        <v>2050000</v>
      </c>
      <c r="E21" s="194"/>
      <c r="F21" s="194">
        <v>4915622</v>
      </c>
      <c r="G21" s="194"/>
      <c r="H21" s="194"/>
      <c r="I21" s="126"/>
      <c r="J21" s="277">
        <f t="shared" si="2"/>
        <v>6965622</v>
      </c>
      <c r="K21" s="254">
        <f t="shared" si="4"/>
        <v>26950598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95604930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194879441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57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457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57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58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J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>+K31+K32+K33+K34+K35+K36+K37+K38</f>
        <v>255000000</v>
      </c>
    </row>
    <row r="31" spans="1:11" s="42" customFormat="1" ht="12" customHeight="1">
      <c r="A31" s="152" t="s">
        <v>152</v>
      </c>
      <c r="B31" s="138" t="s">
        <v>409</v>
      </c>
      <c r="C31" s="456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548</v>
      </c>
      <c r="C32" s="456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57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57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57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549</v>
      </c>
      <c r="C36" s="457">
        <v>150000</v>
      </c>
      <c r="D36" s="126"/>
      <c r="E36" s="126"/>
      <c r="F36" s="126"/>
      <c r="G36" s="126"/>
      <c r="H36" s="126"/>
      <c r="I36" s="126"/>
      <c r="J36" s="277"/>
      <c r="K36" s="254">
        <f t="shared" si="8"/>
        <v>150000</v>
      </c>
    </row>
    <row r="37" spans="1:11" s="42" customFormat="1" ht="12" customHeight="1">
      <c r="A37" s="153" t="s">
        <v>415</v>
      </c>
      <c r="B37" s="139" t="s">
        <v>550</v>
      </c>
      <c r="C37" s="457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22039323</v>
      </c>
      <c r="D39" s="192">
        <f aca="true" t="shared" si="9" ref="D39:K39">SUM(D40:D50)</f>
        <v>0</v>
      </c>
      <c r="E39" s="192">
        <f t="shared" si="9"/>
        <v>4535000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4535000</v>
      </c>
      <c r="K39" s="252">
        <f t="shared" si="9"/>
        <v>26574323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57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57">
        <v>2975716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2975716</v>
      </c>
    </row>
    <row r="43" spans="1:11" s="42" customFormat="1" ht="12" customHeight="1">
      <c r="A43" s="153" t="s">
        <v>93</v>
      </c>
      <c r="B43" s="139" t="s">
        <v>161</v>
      </c>
      <c r="C43" s="457"/>
      <c r="D43" s="194"/>
      <c r="E43" s="194">
        <v>3590000</v>
      </c>
      <c r="F43" s="194">
        <v>945000</v>
      </c>
      <c r="G43" s="194"/>
      <c r="H43" s="194"/>
      <c r="I43" s="126"/>
      <c r="J43" s="277">
        <f t="shared" si="2"/>
        <v>4535000</v>
      </c>
      <c r="K43" s="254">
        <f t="shared" si="10"/>
        <v>4535000</v>
      </c>
    </row>
    <row r="44" spans="1:11" s="42" customFormat="1" ht="12" customHeight="1">
      <c r="A44" s="153" t="s">
        <v>94</v>
      </c>
      <c r="B44" s="139" t="s">
        <v>162</v>
      </c>
      <c r="C44" s="457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57">
        <v>3024580</v>
      </c>
      <c r="D45" s="194"/>
      <c r="E45" s="194">
        <v>945000</v>
      </c>
      <c r="F45" s="194">
        <v>-945000</v>
      </c>
      <c r="G45" s="194"/>
      <c r="H45" s="194"/>
      <c r="I45" s="126"/>
      <c r="J45" s="277">
        <f t="shared" si="2"/>
        <v>0</v>
      </c>
      <c r="K45" s="254">
        <f t="shared" si="10"/>
        <v>3024580</v>
      </c>
    </row>
    <row r="46" spans="1:11" s="42" customFormat="1" ht="12" customHeight="1">
      <c r="A46" s="153" t="s">
        <v>96</v>
      </c>
      <c r="B46" s="139" t="s">
        <v>164</v>
      </c>
      <c r="C46" s="457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57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529570875</v>
      </c>
      <c r="D67" s="196">
        <f aca="true" t="shared" si="14" ref="D67:K67">+D8+D16+D23+D30+D39+D51+D57+D62</f>
        <v>109525281</v>
      </c>
      <c r="E67" s="196">
        <f t="shared" si="14"/>
        <v>5821489</v>
      </c>
      <c r="F67" s="196">
        <f t="shared" si="14"/>
        <v>41005006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156351776</v>
      </c>
      <c r="K67" s="256">
        <f t="shared" si="14"/>
        <v>685922651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231000000</v>
      </c>
      <c r="D77" s="125">
        <f aca="true" t="shared" si="17" ref="D77:K77">SUM(D78:D79)</f>
        <v>7327545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7327545</v>
      </c>
      <c r="K77" s="252">
        <f t="shared" si="17"/>
        <v>238327545</v>
      </c>
    </row>
    <row r="78" spans="1:11" s="42" customFormat="1" ht="12" customHeight="1">
      <c r="A78" s="152" t="s">
        <v>221</v>
      </c>
      <c r="B78" s="138" t="s">
        <v>200</v>
      </c>
      <c r="C78" s="129">
        <v>231000000</v>
      </c>
      <c r="D78" s="129">
        <v>7327545</v>
      </c>
      <c r="E78" s="129"/>
      <c r="F78" s="129"/>
      <c r="G78" s="129"/>
      <c r="H78" s="129"/>
      <c r="I78" s="129"/>
      <c r="J78" s="275">
        <f>D78+E78+F78+G78+H78+I78</f>
        <v>7327545</v>
      </c>
      <c r="K78" s="257">
        <f>C78+J78</f>
        <v>238327545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6220032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6220032</v>
      </c>
      <c r="K80" s="252">
        <f t="shared" si="18"/>
        <v>6220032</v>
      </c>
    </row>
    <row r="81" spans="1:11" s="42" customFormat="1" ht="12" customHeight="1">
      <c r="A81" s="152" t="s">
        <v>223</v>
      </c>
      <c r="B81" s="138" t="s">
        <v>204</v>
      </c>
      <c r="C81" s="474">
        <v>0</v>
      </c>
      <c r="D81" s="129">
        <v>0</v>
      </c>
      <c r="E81" s="129"/>
      <c r="F81" s="129">
        <v>6220032</v>
      </c>
      <c r="G81" s="129"/>
      <c r="H81" s="129"/>
      <c r="I81" s="129"/>
      <c r="J81" s="275">
        <f>D81+E81+F81+G81+H81+I81</f>
        <v>6220032</v>
      </c>
      <c r="K81" s="257">
        <f>C81+J81</f>
        <v>6220032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6220032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13547577</v>
      </c>
      <c r="K91" s="256">
        <f t="shared" si="22"/>
        <v>244547577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760570875</v>
      </c>
      <c r="D92" s="131">
        <f aca="true" t="shared" si="23" ref="D92:K92">+D67+D91</f>
        <v>116852826</v>
      </c>
      <c r="E92" s="131">
        <f t="shared" si="23"/>
        <v>5821489</v>
      </c>
      <c r="F92" s="131">
        <f t="shared" si="23"/>
        <v>47225038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169899353</v>
      </c>
      <c r="K92" s="256">
        <f t="shared" si="23"/>
        <v>930470228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8" t="s">
        <v>36</v>
      </c>
      <c r="B94" s="559"/>
      <c r="C94" s="559"/>
      <c r="D94" s="559"/>
      <c r="E94" s="559"/>
      <c r="F94" s="559"/>
      <c r="G94" s="559"/>
      <c r="H94" s="559"/>
      <c r="I94" s="559"/>
      <c r="J94" s="559"/>
      <c r="K94" s="560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205932264</v>
      </c>
      <c r="D95" s="260">
        <f aca="true" t="shared" si="24" ref="D95:K95">+D96+D97+D98+D99+D100+D113</f>
        <v>6506779</v>
      </c>
      <c r="E95" s="260">
        <f t="shared" si="24"/>
        <v>2661185</v>
      </c>
      <c r="F95" s="260">
        <f t="shared" si="24"/>
        <v>41435634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50603598</v>
      </c>
      <c r="K95" s="263">
        <f t="shared" si="24"/>
        <v>256535862</v>
      </c>
    </row>
    <row r="96" spans="1:11" ht="12" customHeight="1">
      <c r="A96" s="160" t="s">
        <v>58</v>
      </c>
      <c r="B96" s="7" t="s">
        <v>32</v>
      </c>
      <c r="C96" s="460">
        <v>23047053</v>
      </c>
      <c r="D96" s="261">
        <v>-2307325</v>
      </c>
      <c r="E96" s="261">
        <v>-27949</v>
      </c>
      <c r="F96" s="261"/>
      <c r="G96" s="261"/>
      <c r="H96" s="261"/>
      <c r="I96" s="185"/>
      <c r="J96" s="276">
        <f aca="true" t="shared" si="25" ref="J96:J115">D96+E96+F96+G96+H96+I96</f>
        <v>-2335274</v>
      </c>
      <c r="K96" s="264">
        <f aca="true" t="shared" si="26" ref="K96:K115">C96+J96</f>
        <v>20711779</v>
      </c>
    </row>
    <row r="97" spans="1:11" ht="12" customHeight="1">
      <c r="A97" s="153" t="s">
        <v>59</v>
      </c>
      <c r="B97" s="5" t="s">
        <v>101</v>
      </c>
      <c r="C97" s="457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1">
        <v>50872013</v>
      </c>
      <c r="D98" s="128">
        <v>8047896</v>
      </c>
      <c r="E98" s="128">
        <v>6170097</v>
      </c>
      <c r="F98" s="128">
        <v>338196</v>
      </c>
      <c r="G98" s="128"/>
      <c r="H98" s="126"/>
      <c r="I98" s="128"/>
      <c r="J98" s="278">
        <f t="shared" si="25"/>
        <v>14556189</v>
      </c>
      <c r="K98" s="255">
        <f t="shared" si="26"/>
        <v>65428202</v>
      </c>
    </row>
    <row r="99" spans="1:11" ht="12" customHeight="1">
      <c r="A99" s="153" t="s">
        <v>61</v>
      </c>
      <c r="B99" s="8" t="s">
        <v>102</v>
      </c>
      <c r="C99" s="461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1">
        <v>78130600</v>
      </c>
      <c r="D100" s="128">
        <v>15711772</v>
      </c>
      <c r="E100" s="128">
        <v>122538</v>
      </c>
      <c r="F100" s="128">
        <v>2000000</v>
      </c>
      <c r="G100" s="128"/>
      <c r="H100" s="128"/>
      <c r="I100" s="128"/>
      <c r="J100" s="278">
        <f t="shared" si="25"/>
        <v>17834310</v>
      </c>
      <c r="K100" s="255">
        <f t="shared" si="26"/>
        <v>95964910</v>
      </c>
    </row>
    <row r="101" spans="1:11" ht="12" customHeight="1">
      <c r="A101" s="153" t="s">
        <v>62</v>
      </c>
      <c r="B101" s="5" t="s">
        <v>354</v>
      </c>
      <c r="C101" s="461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1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1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1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1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1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1">
        <v>62389542</v>
      </c>
      <c r="D107" s="128">
        <v>15711772</v>
      </c>
      <c r="E107" s="128">
        <v>-14704162</v>
      </c>
      <c r="F107" s="128">
        <v>2000000</v>
      </c>
      <c r="G107" s="128"/>
      <c r="H107" s="128"/>
      <c r="I107" s="128"/>
      <c r="J107" s="278">
        <f t="shared" si="25"/>
        <v>3007610</v>
      </c>
      <c r="K107" s="255">
        <f t="shared" si="26"/>
        <v>65397152</v>
      </c>
    </row>
    <row r="108" spans="1:11" ht="12" customHeight="1">
      <c r="A108" s="153" t="s">
        <v>104</v>
      </c>
      <c r="B108" s="49" t="s">
        <v>236</v>
      </c>
      <c r="C108" s="461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1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1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1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57">
        <v>2018169</v>
      </c>
      <c r="D112" s="126"/>
      <c r="E112" s="126">
        <v>14826700</v>
      </c>
      <c r="F112" s="126"/>
      <c r="G112" s="126"/>
      <c r="H112" s="126"/>
      <c r="I112" s="126"/>
      <c r="J112" s="277">
        <f t="shared" si="25"/>
        <v>14826700</v>
      </c>
      <c r="K112" s="254">
        <f t="shared" si="26"/>
        <v>16844869</v>
      </c>
    </row>
    <row r="113" spans="1:11" ht="12" customHeight="1">
      <c r="A113" s="153" t="s">
        <v>297</v>
      </c>
      <c r="B113" s="8" t="s">
        <v>33</v>
      </c>
      <c r="C113" s="457">
        <v>44794452</v>
      </c>
      <c r="D113" s="126">
        <v>-15011644</v>
      </c>
      <c r="E113" s="126">
        <v>-3603501</v>
      </c>
      <c r="F113" s="126">
        <v>39097438</v>
      </c>
      <c r="G113" s="126"/>
      <c r="H113" s="126"/>
      <c r="I113" s="126"/>
      <c r="J113" s="277">
        <f t="shared" si="25"/>
        <v>20482293</v>
      </c>
      <c r="K113" s="254">
        <f t="shared" si="26"/>
        <v>65276745</v>
      </c>
    </row>
    <row r="114" spans="1:11" ht="12" customHeight="1">
      <c r="A114" s="154" t="s">
        <v>298</v>
      </c>
      <c r="B114" s="5" t="s">
        <v>355</v>
      </c>
      <c r="C114" s="461">
        <v>36937651</v>
      </c>
      <c r="D114" s="128">
        <v>-15011644</v>
      </c>
      <c r="E114" s="128">
        <v>-3603501</v>
      </c>
      <c r="F114" s="128">
        <v>39097438</v>
      </c>
      <c r="G114" s="128"/>
      <c r="H114" s="128"/>
      <c r="I114" s="128"/>
      <c r="J114" s="278">
        <f t="shared" si="25"/>
        <v>20482293</v>
      </c>
      <c r="K114" s="255">
        <f t="shared" si="26"/>
        <v>57419944</v>
      </c>
    </row>
    <row r="115" spans="1:11" ht="12" customHeight="1" thickBot="1">
      <c r="A115" s="162" t="s">
        <v>299</v>
      </c>
      <c r="B115" s="52" t="s">
        <v>356</v>
      </c>
      <c r="C115" s="462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119074433</v>
      </c>
      <c r="D116" s="125">
        <f aca="true" t="shared" si="27" ref="D116:J116">+D117+D119+D121</f>
        <v>108281216</v>
      </c>
      <c r="E116" s="125">
        <f t="shared" si="27"/>
        <v>3160304</v>
      </c>
      <c r="F116" s="125">
        <f t="shared" si="27"/>
        <v>5789404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117230924</v>
      </c>
      <c r="K116" s="252">
        <f>+K117+K119+K121</f>
        <v>236305357</v>
      </c>
    </row>
    <row r="117" spans="1:11" ht="12" customHeight="1">
      <c r="A117" s="152" t="s">
        <v>64</v>
      </c>
      <c r="B117" s="5" t="s">
        <v>119</v>
      </c>
      <c r="C117" s="456">
        <v>114838996</v>
      </c>
      <c r="D117" s="127">
        <v>108281090</v>
      </c>
      <c r="E117" s="127">
        <v>3160304</v>
      </c>
      <c r="F117" s="127">
        <v>5689600</v>
      </c>
      <c r="G117" s="127"/>
      <c r="H117" s="127"/>
      <c r="I117" s="127"/>
      <c r="J117" s="166">
        <f aca="true" t="shared" si="28" ref="J117:J129">D117+E117+F117+G117+H117+I117</f>
        <v>117130994</v>
      </c>
      <c r="K117" s="253">
        <f aca="true" t="shared" si="29" ref="K117:K129">C117+J117</f>
        <v>231969990</v>
      </c>
    </row>
    <row r="118" spans="1:11" ht="12" customHeight="1">
      <c r="A118" s="152" t="s">
        <v>65</v>
      </c>
      <c r="B118" s="9" t="s">
        <v>245</v>
      </c>
      <c r="C118" s="456">
        <v>93314896</v>
      </c>
      <c r="D118" s="127">
        <v>102796090</v>
      </c>
      <c r="E118" s="127"/>
      <c r="F118" s="127">
        <v>5689600</v>
      </c>
      <c r="G118" s="127"/>
      <c r="H118" s="127"/>
      <c r="I118" s="127"/>
      <c r="J118" s="166">
        <f t="shared" si="28"/>
        <v>108485690</v>
      </c>
      <c r="K118" s="253">
        <f t="shared" si="29"/>
        <v>201800586</v>
      </c>
    </row>
    <row r="119" spans="1:11" ht="12" customHeight="1">
      <c r="A119" s="152" t="s">
        <v>66</v>
      </c>
      <c r="B119" s="9" t="s">
        <v>105</v>
      </c>
      <c r="C119" s="457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3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3">
        <v>4235437</v>
      </c>
      <c r="D121" s="126">
        <v>126</v>
      </c>
      <c r="E121" s="126"/>
      <c r="F121" s="126">
        <v>99804</v>
      </c>
      <c r="G121" s="126"/>
      <c r="H121" s="126"/>
      <c r="I121" s="126"/>
      <c r="J121" s="277">
        <f t="shared" si="28"/>
        <v>99930</v>
      </c>
      <c r="K121" s="254">
        <f t="shared" si="29"/>
        <v>4335367</v>
      </c>
    </row>
    <row r="122" spans="1:11" ht="12" customHeight="1">
      <c r="A122" s="152" t="s">
        <v>74</v>
      </c>
      <c r="B122" s="69" t="s">
        <v>286</v>
      </c>
      <c r="C122" s="463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3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3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3">
        <v>2235437</v>
      </c>
      <c r="D125" s="126">
        <v>126</v>
      </c>
      <c r="E125" s="126"/>
      <c r="F125" s="126">
        <v>99804</v>
      </c>
      <c r="G125" s="126"/>
      <c r="H125" s="126"/>
      <c r="I125" s="126"/>
      <c r="J125" s="277">
        <f t="shared" si="28"/>
        <v>99930</v>
      </c>
      <c r="K125" s="254">
        <f t="shared" si="29"/>
        <v>2335367</v>
      </c>
    </row>
    <row r="126" spans="1:11" ht="12" customHeight="1">
      <c r="A126" s="152" t="s">
        <v>108</v>
      </c>
      <c r="B126" s="50" t="s">
        <v>249</v>
      </c>
      <c r="C126" s="463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3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325006697</v>
      </c>
      <c r="D130" s="125">
        <f aca="true" t="shared" si="30" ref="D130:K130">+D95+D116</f>
        <v>114787995</v>
      </c>
      <c r="E130" s="125">
        <f t="shared" si="30"/>
        <v>5821489</v>
      </c>
      <c r="F130" s="125">
        <f t="shared" si="30"/>
        <v>47225038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167834522</v>
      </c>
      <c r="K130" s="252">
        <f t="shared" si="30"/>
        <v>492841219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3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3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3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760570875</v>
      </c>
      <c r="D157" s="190">
        <f aca="true" t="shared" si="40" ref="D157:K157">+D130+D156</f>
        <v>116852826</v>
      </c>
      <c r="E157" s="190">
        <f t="shared" si="40"/>
        <v>5821489</v>
      </c>
      <c r="F157" s="190">
        <f t="shared" si="40"/>
        <v>47225038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169899353</v>
      </c>
      <c r="K157" s="267">
        <f t="shared" si="40"/>
        <v>930470228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>
        <v>1</v>
      </c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1</v>
      </c>
    </row>
    <row r="160" spans="1:11" ht="14.25" customHeight="1" thickBot="1">
      <c r="A160" s="64" t="s">
        <v>116</v>
      </c>
      <c r="B160" s="65"/>
      <c r="C160" s="222">
        <v>0</v>
      </c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3" manualBreakCount="3">
    <brk id="56" max="255" man="1"/>
    <brk id="93" max="255" man="1"/>
    <brk id="1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1">
      <selection activeCell="F21" sqref="F21"/>
    </sheetView>
  </sheetViews>
  <sheetFormatPr defaultColWidth="9.375" defaultRowHeight="12.75"/>
  <cols>
    <col min="1" max="1" width="12.50390625" style="118" customWidth="1"/>
    <col min="2" max="2" width="62.00390625" style="119" customWidth="1"/>
    <col min="3" max="3" width="15.75390625" style="120" customWidth="1"/>
    <col min="4" max="6" width="14.75390625" style="120" customWidth="1"/>
    <col min="7" max="7" width="14.75390625" style="120" hidden="1" customWidth="1"/>
    <col min="8" max="9" width="14.75390625" style="1" hidden="1" customWidth="1"/>
    <col min="10" max="11" width="15.75390625" style="1" customWidth="1"/>
    <col min="12" max="16384" width="9.375" style="1" customWidth="1"/>
  </cols>
  <sheetData>
    <row r="1" spans="1:11" s="316" customFormat="1" ht="16.5" customHeight="1" thickBot="1">
      <c r="A1" s="400"/>
      <c r="B1" s="569" t="str">
        <f>CONCATENATE("10. melléklet ",RM_ALAPADATOK!A7," ",RM_ALAPADATOK!B7," ",RM_ALAPADATOK!C7," ",RM_ALAPADATOK!D7," ",RM_ALAPADATOK!E7," ",RM_ALAPADATOK!F7," ",RM_ALAPADATOK!G7," ",RM_ALAPADATOK!H7)</f>
        <v>10. melléklet a  / 2023 ( … ) önkormányzati rendelethez</v>
      </c>
      <c r="C1" s="570"/>
      <c r="D1" s="570"/>
      <c r="E1" s="570"/>
      <c r="F1" s="570"/>
      <c r="G1" s="570"/>
      <c r="H1" s="570"/>
      <c r="I1" s="570"/>
      <c r="J1" s="570"/>
      <c r="K1" s="570"/>
    </row>
    <row r="2" spans="1:11" s="318" customFormat="1" ht="21" customHeight="1" thickBot="1">
      <c r="A2" s="401" t="s">
        <v>39</v>
      </c>
      <c r="B2" s="561" t="str">
        <f>CONCATENATE(RM_ALAPADATOK!A3)</f>
        <v>Balatonvilágos Község Önkormányzata</v>
      </c>
      <c r="C2" s="562"/>
      <c r="D2" s="562"/>
      <c r="E2" s="562"/>
      <c r="F2" s="562"/>
      <c r="G2" s="562"/>
      <c r="H2" s="562"/>
      <c r="I2" s="563"/>
      <c r="J2" s="564"/>
      <c r="K2" s="317" t="s">
        <v>34</v>
      </c>
    </row>
    <row r="3" spans="1:11" s="318" customFormat="1" ht="23.25" thickBot="1">
      <c r="A3" s="401" t="s">
        <v>114</v>
      </c>
      <c r="B3" s="565" t="s">
        <v>441</v>
      </c>
      <c r="C3" s="566"/>
      <c r="D3" s="566"/>
      <c r="E3" s="566"/>
      <c r="F3" s="566"/>
      <c r="G3" s="566"/>
      <c r="H3" s="566"/>
      <c r="I3" s="567"/>
      <c r="J3" s="568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435" t="str">
        <f>CONCATENATE('1.sz.mell.'!C9:K9)</f>
        <v>Eredeti
előirányzat</v>
      </c>
      <c r="D5" s="436" t="str">
        <f>CONCATENATE('1.sz.mell.'!D9)</f>
        <v>1. sz. módosítás </v>
      </c>
      <c r="E5" s="436" t="str">
        <f>CONCATENATE('1.sz.mell.'!E9)</f>
        <v>2. sz. módosítás </v>
      </c>
      <c r="F5" s="436" t="str">
        <f>CONCATENATE('1.sz.mell.'!F9)</f>
        <v>3. sz. módosítás </v>
      </c>
      <c r="G5" s="436" t="str">
        <f>CONCATENATE('1.sz.mell.'!G9)</f>
        <v>4. sz. módosítás </v>
      </c>
      <c r="H5" s="436" t="str">
        <f>CONCATENATE('1.sz.mell.'!H9)</f>
        <v>.5. sz. módosítás </v>
      </c>
      <c r="I5" s="436" t="str">
        <f>CONCATENATE('1.sz.mell.'!I9)</f>
        <v>6. sz. módosítás </v>
      </c>
      <c r="J5" s="436" t="s">
        <v>430</v>
      </c>
      <c r="K5" s="437" t="str">
        <f>CONCATENATE('9.sz.mell'!K5)</f>
        <v>III.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58" t="s">
        <v>35</v>
      </c>
      <c r="B7" s="559"/>
      <c r="C7" s="559"/>
      <c r="D7" s="559"/>
      <c r="E7" s="559"/>
      <c r="F7" s="559"/>
      <c r="G7" s="559"/>
      <c r="H7" s="559"/>
      <c r="I7" s="559"/>
      <c r="J7" s="559"/>
      <c r="K7" s="560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+D9+D10+D11+D12+D14+D15</f>
        <v>8200770</v>
      </c>
      <c r="E8" s="192">
        <f t="shared" si="0"/>
        <v>1286489</v>
      </c>
      <c r="F8" s="192">
        <f>+F9+F10+F11+F12+F14+F15+F13</f>
        <v>36089384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+J9+J10+J11+J12+J14+J15+J13</f>
        <v>45576643</v>
      </c>
      <c r="K8" s="252">
        <f>+K9+K10+K11+K12+K14+K15+K13</f>
        <v>182518289</v>
      </c>
    </row>
    <row r="9" spans="1:11" s="41" customFormat="1" ht="12" customHeight="1">
      <c r="A9" s="152" t="s">
        <v>58</v>
      </c>
      <c r="B9" s="138" t="s">
        <v>138</v>
      </c>
      <c r="C9" s="456">
        <v>39387383</v>
      </c>
      <c r="D9" s="193"/>
      <c r="E9" s="193"/>
      <c r="F9" s="193">
        <v>4300000</v>
      </c>
      <c r="G9" s="193"/>
      <c r="H9" s="193"/>
      <c r="I9" s="127"/>
      <c r="J9" s="166">
        <f>D9+E9+F9+G9+H9+I9</f>
        <v>4300000</v>
      </c>
      <c r="K9" s="253">
        <f aca="true" t="shared" si="1" ref="K9:K15">C9+J9</f>
        <v>43687383</v>
      </c>
    </row>
    <row r="10" spans="1:11" s="42" customFormat="1" ht="12" customHeight="1">
      <c r="A10" s="153" t="s">
        <v>59</v>
      </c>
      <c r="B10" s="139" t="s">
        <v>139</v>
      </c>
      <c r="C10" s="457">
        <v>55200800</v>
      </c>
      <c r="D10" s="194">
        <v>-6256880</v>
      </c>
      <c r="E10" s="194"/>
      <c r="F10" s="194">
        <v>7700532</v>
      </c>
      <c r="G10" s="194"/>
      <c r="H10" s="194"/>
      <c r="I10" s="126"/>
      <c r="J10" s="166">
        <f aca="true" t="shared" si="2" ref="J10:J66">D10+E10+F10+G10+H10+I10</f>
        <v>1443652</v>
      </c>
      <c r="K10" s="253">
        <f t="shared" si="1"/>
        <v>56644452</v>
      </c>
    </row>
    <row r="11" spans="1:11" s="42" customFormat="1" ht="12" customHeight="1">
      <c r="A11" s="153" t="s">
        <v>60</v>
      </c>
      <c r="B11" s="139" t="s">
        <v>140</v>
      </c>
      <c r="C11" s="457">
        <v>8094700</v>
      </c>
      <c r="D11" s="194">
        <v>-369050</v>
      </c>
      <c r="E11" s="194"/>
      <c r="F11" s="194">
        <v>1451292</v>
      </c>
      <c r="G11" s="194"/>
      <c r="H11" s="194"/>
      <c r="I11" s="126"/>
      <c r="J11" s="166">
        <f t="shared" si="2"/>
        <v>1082242</v>
      </c>
      <c r="K11" s="253">
        <f t="shared" si="1"/>
        <v>9176942</v>
      </c>
    </row>
    <row r="12" spans="1:11" s="42" customFormat="1" ht="12" customHeight="1">
      <c r="A12" s="153" t="s">
        <v>61</v>
      </c>
      <c r="B12" s="139" t="s">
        <v>546</v>
      </c>
      <c r="C12" s="457">
        <v>30999014</v>
      </c>
      <c r="D12" s="194"/>
      <c r="E12" s="194"/>
      <c r="F12" s="194">
        <v>12276634</v>
      </c>
      <c r="G12" s="194"/>
      <c r="H12" s="194"/>
      <c r="I12" s="126"/>
      <c r="J12" s="166">
        <f t="shared" si="2"/>
        <v>12276634</v>
      </c>
      <c r="K12" s="253">
        <f t="shared" si="1"/>
        <v>43275648</v>
      </c>
    </row>
    <row r="13" spans="1:11" s="42" customFormat="1" ht="12" customHeight="1">
      <c r="A13" s="153" t="s">
        <v>78</v>
      </c>
      <c r="B13" s="139" t="s">
        <v>141</v>
      </c>
      <c r="C13" s="457">
        <v>3259749</v>
      </c>
      <c r="D13" s="194"/>
      <c r="E13" s="194"/>
      <c r="F13" s="194">
        <v>1087928</v>
      </c>
      <c r="G13" s="194"/>
      <c r="H13" s="194"/>
      <c r="I13" s="126"/>
      <c r="J13" s="166">
        <f t="shared" si="2"/>
        <v>1087928</v>
      </c>
      <c r="K13" s="253">
        <f t="shared" si="1"/>
        <v>4347677</v>
      </c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>
        <v>1200150</v>
      </c>
      <c r="F14" s="194"/>
      <c r="G14" s="194"/>
      <c r="H14" s="194"/>
      <c r="I14" s="126"/>
      <c r="J14" s="166">
        <f t="shared" si="2"/>
        <v>16026850</v>
      </c>
      <c r="K14" s="253">
        <f t="shared" si="1"/>
        <v>16026850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>
        <v>86339</v>
      </c>
      <c r="F15" s="194">
        <v>9272998</v>
      </c>
      <c r="G15" s="194"/>
      <c r="H15" s="194"/>
      <c r="I15" s="126"/>
      <c r="J15" s="166">
        <f t="shared" si="2"/>
        <v>9359337</v>
      </c>
      <c r="K15" s="253">
        <f t="shared" si="1"/>
        <v>9359337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4915622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6965622</v>
      </c>
      <c r="K16" s="252">
        <f t="shared" si="3"/>
        <v>26950598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57">
        <v>19984976</v>
      </c>
      <c r="D21" s="194">
        <v>2050000</v>
      </c>
      <c r="E21" s="194"/>
      <c r="F21" s="194">
        <v>4915622</v>
      </c>
      <c r="G21" s="194"/>
      <c r="H21" s="194"/>
      <c r="I21" s="126"/>
      <c r="J21" s="277">
        <f t="shared" si="2"/>
        <v>6965622</v>
      </c>
      <c r="K21" s="254">
        <f t="shared" si="4"/>
        <v>26950598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95274530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194549041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57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61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I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>+J31+J32+J33+J34+J35+J37+J38+J36</f>
        <v>0</v>
      </c>
      <c r="K30" s="131">
        <f>+K31+K32+K33+K34+K35+K37+K38+K36</f>
        <v>255000000</v>
      </c>
    </row>
    <row r="31" spans="1:11" s="42" customFormat="1" ht="12" customHeight="1">
      <c r="A31" s="152" t="s">
        <v>152</v>
      </c>
      <c r="B31" s="138" t="s">
        <v>409</v>
      </c>
      <c r="C31" s="456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548</v>
      </c>
      <c r="C32" s="456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57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57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57">
        <v>200000</v>
      </c>
      <c r="D35" s="126"/>
      <c r="E35" s="126"/>
      <c r="F35" s="126"/>
      <c r="G35" s="126"/>
      <c r="H35" s="126"/>
      <c r="I35" s="126"/>
      <c r="J35" s="277">
        <f>D35+E35+F35+G35+H35+I35</f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549</v>
      </c>
      <c r="C36" s="457">
        <v>150000</v>
      </c>
      <c r="D36" s="126"/>
      <c r="E36" s="126"/>
      <c r="F36" s="126"/>
      <c r="G36" s="126"/>
      <c r="H36" s="126"/>
      <c r="I36" s="126"/>
      <c r="J36" s="277">
        <f>D36+E36+F36+G36+H36+I36</f>
        <v>0</v>
      </c>
      <c r="K36" s="254">
        <f t="shared" si="8"/>
        <v>150000</v>
      </c>
    </row>
    <row r="37" spans="1:11" s="42" customFormat="1" ht="12" customHeight="1">
      <c r="A37" s="153" t="s">
        <v>415</v>
      </c>
      <c r="B37" s="139" t="s">
        <v>550</v>
      </c>
      <c r="C37" s="457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551728</v>
      </c>
      <c r="D39" s="192">
        <f aca="true" t="shared" si="9" ref="D39:K39">SUM(D40:D50)</f>
        <v>0</v>
      </c>
      <c r="E39" s="192">
        <f t="shared" si="9"/>
        <v>4535000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4535000</v>
      </c>
      <c r="K39" s="252">
        <f t="shared" si="9"/>
        <v>5086728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457">
        <v>475716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475716</v>
      </c>
    </row>
    <row r="43" spans="1:11" s="42" customFormat="1" ht="12" customHeight="1">
      <c r="A43" s="153" t="s">
        <v>93</v>
      </c>
      <c r="B43" s="139" t="s">
        <v>161</v>
      </c>
      <c r="C43" s="457"/>
      <c r="D43" s="194"/>
      <c r="E43" s="194">
        <v>3590000</v>
      </c>
      <c r="F43" s="194">
        <v>945000</v>
      </c>
      <c r="G43" s="194"/>
      <c r="H43" s="194"/>
      <c r="I43" s="126"/>
      <c r="J43" s="277">
        <f t="shared" si="2"/>
        <v>4535000</v>
      </c>
      <c r="K43" s="254">
        <f t="shared" si="10"/>
        <v>4535000</v>
      </c>
    </row>
    <row r="44" spans="1:11" s="42" customFormat="1" ht="12" customHeight="1">
      <c r="A44" s="153" t="s">
        <v>94</v>
      </c>
      <c r="B44" s="139" t="s">
        <v>162</v>
      </c>
      <c r="C44" s="457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57">
        <v>66012</v>
      </c>
      <c r="D45" s="194"/>
      <c r="E45" s="194">
        <v>945000</v>
      </c>
      <c r="F45" s="194">
        <v>-945000</v>
      </c>
      <c r="G45" s="194"/>
      <c r="H45" s="194"/>
      <c r="I45" s="126"/>
      <c r="J45" s="277">
        <f t="shared" si="2"/>
        <v>0</v>
      </c>
      <c r="K45" s="254">
        <f t="shared" si="10"/>
        <v>66012</v>
      </c>
    </row>
    <row r="46" spans="1:11" s="42" customFormat="1" ht="12" customHeight="1">
      <c r="A46" s="153" t="s">
        <v>96</v>
      </c>
      <c r="B46" s="139" t="s">
        <v>164</v>
      </c>
      <c r="C46" s="457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57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507752880</v>
      </c>
      <c r="D67" s="196">
        <f aca="true" t="shared" si="14" ref="D67:K67">+D8+D16+D23+D30+D39+D51+D57+D62</f>
        <v>109525281</v>
      </c>
      <c r="E67" s="196">
        <f t="shared" si="14"/>
        <v>5821489</v>
      </c>
      <c r="F67" s="196">
        <f t="shared" si="14"/>
        <v>41005006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156351776</v>
      </c>
      <c r="K67" s="256">
        <f t="shared" si="14"/>
        <v>664104656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231000000</v>
      </c>
      <c r="D77" s="125">
        <f aca="true" t="shared" si="17" ref="D77:K77">SUM(D78:D79)</f>
        <v>7327545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7327545</v>
      </c>
      <c r="K77" s="252">
        <f t="shared" si="17"/>
        <v>238327545</v>
      </c>
    </row>
    <row r="78" spans="1:11" s="42" customFormat="1" ht="12" customHeight="1">
      <c r="A78" s="152" t="s">
        <v>221</v>
      </c>
      <c r="B78" s="138" t="s">
        <v>200</v>
      </c>
      <c r="C78" s="474">
        <v>231000000</v>
      </c>
      <c r="D78" s="129">
        <v>7327545</v>
      </c>
      <c r="E78" s="129"/>
      <c r="F78" s="129"/>
      <c r="G78" s="129"/>
      <c r="H78" s="129"/>
      <c r="I78" s="129"/>
      <c r="J78" s="275">
        <f>D78+E78+F78+G78+H78+I78</f>
        <v>7327545</v>
      </c>
      <c r="K78" s="257">
        <f>C78+J78</f>
        <v>238327545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6220032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6220032</v>
      </c>
      <c r="K80" s="252">
        <f t="shared" si="18"/>
        <v>6220032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>
        <v>6220032</v>
      </c>
      <c r="G81" s="129"/>
      <c r="H81" s="129"/>
      <c r="I81" s="129"/>
      <c r="J81" s="275">
        <f>D81+E81+F81+G81+H81+I81</f>
        <v>6220032</v>
      </c>
      <c r="K81" s="257">
        <f>C81+J81</f>
        <v>6220032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6220032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13547577</v>
      </c>
      <c r="K91" s="256">
        <f t="shared" si="22"/>
        <v>244547577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738752880</v>
      </c>
      <c r="D92" s="131">
        <f aca="true" t="shared" si="23" ref="D92:K92">+D67+D91</f>
        <v>116852826</v>
      </c>
      <c r="E92" s="131">
        <f t="shared" si="23"/>
        <v>5821489</v>
      </c>
      <c r="F92" s="131">
        <f t="shared" si="23"/>
        <v>47225038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169899353</v>
      </c>
      <c r="K92" s="256">
        <f t="shared" si="23"/>
        <v>908652233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8" t="s">
        <v>36</v>
      </c>
      <c r="B94" s="559"/>
      <c r="C94" s="559"/>
      <c r="D94" s="559"/>
      <c r="E94" s="559"/>
      <c r="F94" s="559"/>
      <c r="G94" s="559"/>
      <c r="H94" s="559"/>
      <c r="I94" s="559"/>
      <c r="J94" s="559"/>
      <c r="K94" s="560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204214095</v>
      </c>
      <c r="D95" s="260">
        <f aca="true" t="shared" si="24" ref="D95:K95">+D96+D97+D98+D99+D100+D113</f>
        <v>6506779</v>
      </c>
      <c r="E95" s="260">
        <f t="shared" si="24"/>
        <v>2661185</v>
      </c>
      <c r="F95" s="260">
        <f t="shared" si="24"/>
        <v>41435634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50603598</v>
      </c>
      <c r="K95" s="263">
        <f t="shared" si="24"/>
        <v>254817693</v>
      </c>
    </row>
    <row r="96" spans="1:11" ht="12" customHeight="1">
      <c r="A96" s="160" t="s">
        <v>58</v>
      </c>
      <c r="B96" s="7" t="s">
        <v>32</v>
      </c>
      <c r="C96" s="460">
        <v>23047053</v>
      </c>
      <c r="D96" s="261">
        <v>-2307325</v>
      </c>
      <c r="E96" s="261">
        <v>-27949</v>
      </c>
      <c r="F96" s="261"/>
      <c r="G96" s="261"/>
      <c r="H96" s="261"/>
      <c r="I96" s="185"/>
      <c r="J96" s="276">
        <f aca="true" t="shared" si="25" ref="J96:J115">D96+E96+F96+G96+H96+I96</f>
        <v>-2335274</v>
      </c>
      <c r="K96" s="264">
        <f aca="true" t="shared" si="26" ref="K96:K115">C96+J96</f>
        <v>20711779</v>
      </c>
    </row>
    <row r="97" spans="1:11" ht="12" customHeight="1">
      <c r="A97" s="153" t="s">
        <v>59</v>
      </c>
      <c r="B97" s="5" t="s">
        <v>101</v>
      </c>
      <c r="C97" s="457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1">
        <v>50872013</v>
      </c>
      <c r="D98" s="128">
        <v>8047896</v>
      </c>
      <c r="E98" s="128">
        <v>6170097</v>
      </c>
      <c r="F98" s="128">
        <v>338196</v>
      </c>
      <c r="G98" s="128"/>
      <c r="H98" s="126"/>
      <c r="I98" s="128"/>
      <c r="J98" s="278">
        <f t="shared" si="25"/>
        <v>14556189</v>
      </c>
      <c r="K98" s="255">
        <f t="shared" si="26"/>
        <v>65428202</v>
      </c>
    </row>
    <row r="99" spans="1:11" ht="12" customHeight="1">
      <c r="A99" s="153" t="s">
        <v>61</v>
      </c>
      <c r="B99" s="8" t="s">
        <v>102</v>
      </c>
      <c r="C99" s="461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1">
        <v>76412431</v>
      </c>
      <c r="D100" s="128">
        <v>15711772</v>
      </c>
      <c r="E100" s="128">
        <v>122538</v>
      </c>
      <c r="F100" s="128">
        <v>2000000</v>
      </c>
      <c r="G100" s="128"/>
      <c r="H100" s="128"/>
      <c r="I100" s="128"/>
      <c r="J100" s="278">
        <f t="shared" si="25"/>
        <v>17834310</v>
      </c>
      <c r="K100" s="255">
        <f t="shared" si="26"/>
        <v>94246741</v>
      </c>
    </row>
    <row r="101" spans="1:11" ht="12" customHeight="1">
      <c r="A101" s="153" t="s">
        <v>62</v>
      </c>
      <c r="B101" s="5" t="s">
        <v>354</v>
      </c>
      <c r="C101" s="461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1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1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1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1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1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1">
        <v>62389542</v>
      </c>
      <c r="D107" s="128">
        <v>15771772</v>
      </c>
      <c r="E107" s="128">
        <v>-14704162</v>
      </c>
      <c r="F107" s="128">
        <v>2000000</v>
      </c>
      <c r="G107" s="128"/>
      <c r="H107" s="128"/>
      <c r="I107" s="128"/>
      <c r="J107" s="278">
        <f t="shared" si="25"/>
        <v>3067610</v>
      </c>
      <c r="K107" s="255">
        <f t="shared" si="26"/>
        <v>65457152</v>
      </c>
    </row>
    <row r="108" spans="1:11" ht="12" customHeight="1">
      <c r="A108" s="153" t="s">
        <v>104</v>
      </c>
      <c r="B108" s="49" t="s">
        <v>236</v>
      </c>
      <c r="C108" s="461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1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1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1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57">
        <v>300000</v>
      </c>
      <c r="D112" s="126"/>
      <c r="E112" s="126">
        <v>14826700</v>
      </c>
      <c r="F112" s="126"/>
      <c r="G112" s="126"/>
      <c r="H112" s="126"/>
      <c r="I112" s="126"/>
      <c r="J112" s="277">
        <f t="shared" si="25"/>
        <v>14826700</v>
      </c>
      <c r="K112" s="254">
        <f t="shared" si="26"/>
        <v>15126700</v>
      </c>
    </row>
    <row r="113" spans="1:11" ht="12" customHeight="1">
      <c r="A113" s="153" t="s">
        <v>297</v>
      </c>
      <c r="B113" s="8" t="s">
        <v>33</v>
      </c>
      <c r="C113" s="457">
        <v>44794452</v>
      </c>
      <c r="D113" s="126">
        <v>-15011644</v>
      </c>
      <c r="E113" s="126">
        <v>-3603501</v>
      </c>
      <c r="F113" s="126">
        <v>39097438</v>
      </c>
      <c r="G113" s="126"/>
      <c r="H113" s="126"/>
      <c r="I113" s="126"/>
      <c r="J113" s="277">
        <f t="shared" si="25"/>
        <v>20482293</v>
      </c>
      <c r="K113" s="254">
        <f t="shared" si="26"/>
        <v>65276745</v>
      </c>
    </row>
    <row r="114" spans="1:11" ht="12" customHeight="1">
      <c r="A114" s="154" t="s">
        <v>298</v>
      </c>
      <c r="B114" s="5" t="s">
        <v>355</v>
      </c>
      <c r="C114" s="461">
        <v>36937651</v>
      </c>
      <c r="D114" s="128">
        <v>-15011644</v>
      </c>
      <c r="E114" s="128">
        <v>-3603501</v>
      </c>
      <c r="F114" s="128">
        <v>39097438</v>
      </c>
      <c r="G114" s="128"/>
      <c r="H114" s="128"/>
      <c r="I114" s="128"/>
      <c r="J114" s="278">
        <f t="shared" si="25"/>
        <v>20482293</v>
      </c>
      <c r="K114" s="255">
        <f t="shared" si="26"/>
        <v>57419944</v>
      </c>
    </row>
    <row r="115" spans="1:11" ht="12" customHeight="1" thickBot="1">
      <c r="A115" s="162" t="s">
        <v>299</v>
      </c>
      <c r="B115" s="52" t="s">
        <v>356</v>
      </c>
      <c r="C115" s="462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117074433</v>
      </c>
      <c r="D116" s="125">
        <f aca="true" t="shared" si="27" ref="D116:K116">+D117+D119+D121</f>
        <v>108281216</v>
      </c>
      <c r="E116" s="125">
        <f t="shared" si="27"/>
        <v>3160304</v>
      </c>
      <c r="F116" s="125">
        <f t="shared" si="27"/>
        <v>5789404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117230924</v>
      </c>
      <c r="K116" s="252">
        <f t="shared" si="27"/>
        <v>234305357</v>
      </c>
    </row>
    <row r="117" spans="1:11" ht="12" customHeight="1">
      <c r="A117" s="152" t="s">
        <v>64</v>
      </c>
      <c r="B117" s="5" t="s">
        <v>119</v>
      </c>
      <c r="C117" s="456">
        <v>114838996</v>
      </c>
      <c r="D117" s="127">
        <v>108281090</v>
      </c>
      <c r="E117" s="127">
        <v>3160304</v>
      </c>
      <c r="F117" s="127">
        <v>5689600</v>
      </c>
      <c r="G117" s="127"/>
      <c r="H117" s="127"/>
      <c r="I117" s="127"/>
      <c r="J117" s="166">
        <f aca="true" t="shared" si="28" ref="J117:J129">D117+E117+F117+G117+H117+I117</f>
        <v>117130994</v>
      </c>
      <c r="K117" s="253">
        <f aca="true" t="shared" si="29" ref="K117:K129">C117+J117</f>
        <v>231969990</v>
      </c>
    </row>
    <row r="118" spans="1:11" ht="12" customHeight="1">
      <c r="A118" s="152" t="s">
        <v>65</v>
      </c>
      <c r="B118" s="9" t="s">
        <v>245</v>
      </c>
      <c r="C118" s="456">
        <v>93314896</v>
      </c>
      <c r="D118" s="127">
        <v>102796090</v>
      </c>
      <c r="E118" s="127"/>
      <c r="F118" s="127">
        <v>5689600</v>
      </c>
      <c r="G118" s="127"/>
      <c r="H118" s="127"/>
      <c r="I118" s="127"/>
      <c r="J118" s="166">
        <f t="shared" si="28"/>
        <v>108485690</v>
      </c>
      <c r="K118" s="253">
        <f t="shared" si="29"/>
        <v>201800586</v>
      </c>
    </row>
    <row r="119" spans="1:11" ht="12" customHeight="1">
      <c r="A119" s="152" t="s">
        <v>66</v>
      </c>
      <c r="B119" s="9" t="s">
        <v>105</v>
      </c>
      <c r="C119" s="457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3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3">
        <v>2235437</v>
      </c>
      <c r="D121" s="126">
        <v>126</v>
      </c>
      <c r="E121" s="126"/>
      <c r="F121" s="126">
        <v>99804</v>
      </c>
      <c r="G121" s="126"/>
      <c r="H121" s="126"/>
      <c r="I121" s="126"/>
      <c r="J121" s="277">
        <f t="shared" si="28"/>
        <v>99930</v>
      </c>
      <c r="K121" s="254">
        <f t="shared" si="29"/>
        <v>2335367</v>
      </c>
    </row>
    <row r="122" spans="1:11" ht="12" customHeight="1">
      <c r="A122" s="152" t="s">
        <v>74</v>
      </c>
      <c r="B122" s="69" t="s">
        <v>286</v>
      </c>
      <c r="C122" s="463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3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3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3">
        <v>2235437</v>
      </c>
      <c r="D125" s="126">
        <v>126</v>
      </c>
      <c r="E125" s="126"/>
      <c r="F125" s="126">
        <v>99804</v>
      </c>
      <c r="G125" s="126"/>
      <c r="H125" s="126"/>
      <c r="I125" s="126"/>
      <c r="J125" s="277">
        <f t="shared" si="28"/>
        <v>99930</v>
      </c>
      <c r="K125" s="254">
        <f t="shared" si="29"/>
        <v>2335367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321288528</v>
      </c>
      <c r="D130" s="125">
        <f aca="true" t="shared" si="30" ref="D130:K130">+D95+D116</f>
        <v>114787995</v>
      </c>
      <c r="E130" s="125">
        <f t="shared" si="30"/>
        <v>5821489</v>
      </c>
      <c r="F130" s="125">
        <f t="shared" si="30"/>
        <v>47225038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167834522</v>
      </c>
      <c r="K130" s="252">
        <f t="shared" si="30"/>
        <v>489123050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3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3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3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756852706</v>
      </c>
      <c r="D157" s="190">
        <f aca="true" t="shared" si="40" ref="D157:K157">+D130+D156</f>
        <v>116852826</v>
      </c>
      <c r="E157" s="190">
        <f t="shared" si="40"/>
        <v>5821489</v>
      </c>
      <c r="F157" s="190">
        <f t="shared" si="40"/>
        <v>47225038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169899353</v>
      </c>
      <c r="K157" s="267">
        <f t="shared" si="40"/>
        <v>926752059</v>
      </c>
    </row>
    <row r="158" spans="1:11" ht="13.5" thickBot="1">
      <c r="A158" s="116"/>
      <c r="B158" s="117"/>
      <c r="C158" s="418">
        <f>C92-C157</f>
        <v>-18099826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-18099826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49">
      <selection activeCell="G4" sqref="G1:I16384"/>
    </sheetView>
  </sheetViews>
  <sheetFormatPr defaultColWidth="9.375" defaultRowHeight="12.75"/>
  <cols>
    <col min="1" max="1" width="12.50390625" style="118" customWidth="1"/>
    <col min="2" max="2" width="62.00390625" style="119" customWidth="1"/>
    <col min="3" max="3" width="15.75390625" style="120" customWidth="1"/>
    <col min="4" max="6" width="14.75390625" style="120" customWidth="1"/>
    <col min="7" max="7" width="14.75390625" style="120" hidden="1" customWidth="1"/>
    <col min="8" max="9" width="14.75390625" style="1" hidden="1" customWidth="1"/>
    <col min="10" max="11" width="15.75390625" style="1" customWidth="1"/>
    <col min="12" max="16384" width="9.375" style="1" customWidth="1"/>
  </cols>
  <sheetData>
    <row r="1" spans="1:11" s="316" customFormat="1" ht="16.5" customHeight="1" thickBot="1">
      <c r="A1" s="400"/>
      <c r="B1" s="569" t="str">
        <f>CONCATENATE("11. melléklet ",RM_ALAPADATOK!A7," ",RM_ALAPADATOK!B7," ",RM_ALAPADATOK!C7," ",RM_ALAPADATOK!D7," ",RM_ALAPADATOK!E7," ",RM_ALAPADATOK!F7," ",RM_ALAPADATOK!G7," ",RM_ALAPADATOK!H7)</f>
        <v>11. melléklet a  / 2023 ( … ) önkormányzati rendelethez</v>
      </c>
      <c r="C1" s="570"/>
      <c r="D1" s="570"/>
      <c r="E1" s="570"/>
      <c r="F1" s="570"/>
      <c r="G1" s="570"/>
      <c r="H1" s="570"/>
      <c r="I1" s="570"/>
      <c r="J1" s="570"/>
      <c r="K1" s="570"/>
    </row>
    <row r="2" spans="1:11" s="318" customFormat="1" ht="21" customHeight="1" thickBot="1">
      <c r="A2" s="401" t="s">
        <v>39</v>
      </c>
      <c r="B2" s="561" t="str">
        <f>CONCATENATE(RM_ALAPADATOK!A3)</f>
        <v>Balatonvilágos Község Önkormányzata</v>
      </c>
      <c r="C2" s="562"/>
      <c r="D2" s="562"/>
      <c r="E2" s="562"/>
      <c r="F2" s="562"/>
      <c r="G2" s="562"/>
      <c r="H2" s="562"/>
      <c r="I2" s="563"/>
      <c r="J2" s="564"/>
      <c r="K2" s="317" t="s">
        <v>34</v>
      </c>
    </row>
    <row r="3" spans="1:11" s="318" customFormat="1" ht="23.25" thickBot="1">
      <c r="A3" s="401" t="s">
        <v>114</v>
      </c>
      <c r="B3" s="565" t="s">
        <v>442</v>
      </c>
      <c r="C3" s="566"/>
      <c r="D3" s="566"/>
      <c r="E3" s="566"/>
      <c r="F3" s="566"/>
      <c r="G3" s="566"/>
      <c r="H3" s="566"/>
      <c r="I3" s="567"/>
      <c r="J3" s="568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398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CONCATENATE('10.sz.mell'!K5)</f>
        <v>III.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58" t="s">
        <v>35</v>
      </c>
      <c r="B7" s="559"/>
      <c r="C7" s="559"/>
      <c r="D7" s="559"/>
      <c r="E7" s="559"/>
      <c r="F7" s="559"/>
      <c r="G7" s="559"/>
      <c r="H7" s="559"/>
      <c r="I7" s="559"/>
      <c r="J7" s="559"/>
      <c r="K7" s="560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546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330400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330400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57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548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549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550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21487595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21487595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57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57">
        <v>2500000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2500000</v>
      </c>
    </row>
    <row r="43" spans="1:11" s="42" customFormat="1" ht="12" customHeight="1">
      <c r="A43" s="153" t="s">
        <v>93</v>
      </c>
      <c r="B43" s="139" t="s">
        <v>161</v>
      </c>
      <c r="C43" s="457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57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57">
        <v>2958568</v>
      </c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2958568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21817995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21817995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21817995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21817995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8" t="s">
        <v>36</v>
      </c>
      <c r="B94" s="559"/>
      <c r="C94" s="559"/>
      <c r="D94" s="559"/>
      <c r="E94" s="559"/>
      <c r="F94" s="559"/>
      <c r="G94" s="559"/>
      <c r="H94" s="559"/>
      <c r="I94" s="559"/>
      <c r="J94" s="559"/>
      <c r="K94" s="560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1718169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1718169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461">
        <v>1718169</v>
      </c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1718169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>
        <v>1718169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1718169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2000000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2000000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3">
        <v>2000000</v>
      </c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2000000</v>
      </c>
    </row>
    <row r="122" spans="1:11" ht="12" customHeight="1">
      <c r="A122" s="152" t="s">
        <v>74</v>
      </c>
      <c r="B122" s="69" t="s">
        <v>286</v>
      </c>
      <c r="C122" s="463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3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3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3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463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3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3718169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3718169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3718169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3718169</v>
      </c>
    </row>
    <row r="158" spans="1:11" ht="13.5" thickBot="1">
      <c r="A158" s="116"/>
      <c r="B158" s="117"/>
      <c r="C158" s="418">
        <f>C92-C157</f>
        <v>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18099826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1">
      <selection activeCell="G4" sqref="G1:I16384"/>
    </sheetView>
  </sheetViews>
  <sheetFormatPr defaultColWidth="9.375" defaultRowHeight="12.75"/>
  <cols>
    <col min="1" max="1" width="12.50390625" style="118" customWidth="1"/>
    <col min="2" max="2" width="62.00390625" style="119" customWidth="1"/>
    <col min="3" max="3" width="15.75390625" style="120" customWidth="1"/>
    <col min="4" max="6" width="14.75390625" style="120" customWidth="1"/>
    <col min="7" max="7" width="14.75390625" style="120" hidden="1" customWidth="1"/>
    <col min="8" max="9" width="14.75390625" style="1" hidden="1" customWidth="1"/>
    <col min="10" max="11" width="15.75390625" style="1" customWidth="1"/>
    <col min="12" max="16384" width="9.375" style="1" customWidth="1"/>
  </cols>
  <sheetData>
    <row r="1" spans="1:11" s="316" customFormat="1" ht="16.5" customHeight="1" thickBot="1">
      <c r="A1" s="400"/>
      <c r="B1" s="569" t="str">
        <f>CONCATENATE("12. melléklet ",RM_ALAPADATOK!A7," ",RM_ALAPADATOK!B7," ",RM_ALAPADATOK!C7," ",RM_ALAPADATOK!D7," ",RM_ALAPADATOK!E7," ",RM_ALAPADATOK!F7," ",RM_ALAPADATOK!G7," ",RM_ALAPADATOK!H7)</f>
        <v>12. melléklet a  / 2023 ( … ) önkormányzati rendelethez</v>
      </c>
      <c r="C1" s="570"/>
      <c r="D1" s="570"/>
      <c r="E1" s="570"/>
      <c r="F1" s="570"/>
      <c r="G1" s="570"/>
      <c r="H1" s="570"/>
      <c r="I1" s="570"/>
      <c r="J1" s="570"/>
      <c r="K1" s="570"/>
    </row>
    <row r="2" spans="1:11" s="318" customFormat="1" ht="21" customHeight="1" thickBot="1">
      <c r="A2" s="401" t="s">
        <v>39</v>
      </c>
      <c r="B2" s="561" t="str">
        <f>CONCATENATE(RM_ALAPADATOK!A3)</f>
        <v>Balatonvilágos Község Önkormányzata</v>
      </c>
      <c r="C2" s="562"/>
      <c r="D2" s="562"/>
      <c r="E2" s="562"/>
      <c r="F2" s="562"/>
      <c r="G2" s="562"/>
      <c r="H2" s="562"/>
      <c r="I2" s="563"/>
      <c r="J2" s="564"/>
      <c r="K2" s="317" t="s">
        <v>34</v>
      </c>
    </row>
    <row r="3" spans="1:11" s="318" customFormat="1" ht="23.25" thickBot="1">
      <c r="A3" s="401" t="s">
        <v>114</v>
      </c>
      <c r="B3" s="565" t="s">
        <v>444</v>
      </c>
      <c r="C3" s="566"/>
      <c r="D3" s="566"/>
      <c r="E3" s="566"/>
      <c r="F3" s="566"/>
      <c r="G3" s="566"/>
      <c r="H3" s="566"/>
      <c r="I3" s="567"/>
      <c r="J3" s="568"/>
      <c r="K3" s="319" t="s">
        <v>287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CONCATENATE('11.sz.mell'!K5)</f>
        <v>III.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58" t="s">
        <v>35</v>
      </c>
      <c r="B7" s="559"/>
      <c r="C7" s="559"/>
      <c r="D7" s="559"/>
      <c r="E7" s="559"/>
      <c r="F7" s="559"/>
      <c r="G7" s="559"/>
      <c r="H7" s="559"/>
      <c r="I7" s="559"/>
      <c r="J7" s="559"/>
      <c r="K7" s="560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546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548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549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550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0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0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126"/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0</v>
      </c>
    </row>
    <row r="43" spans="1:11" s="42" customFormat="1" ht="12" customHeight="1">
      <c r="A43" s="153" t="s">
        <v>93</v>
      </c>
      <c r="B43" s="139" t="s">
        <v>161</v>
      </c>
      <c r="C43" s="126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126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126"/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0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0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0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0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0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8" t="s">
        <v>36</v>
      </c>
      <c r="B94" s="559"/>
      <c r="C94" s="559"/>
      <c r="D94" s="559"/>
      <c r="E94" s="559"/>
      <c r="F94" s="559"/>
      <c r="G94" s="559"/>
      <c r="H94" s="559"/>
      <c r="I94" s="559"/>
      <c r="J94" s="559"/>
      <c r="K94" s="560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0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0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128"/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0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/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0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126"/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0</v>
      </c>
    </row>
    <row r="122" spans="1:11" ht="12" customHeight="1">
      <c r="A122" s="152" t="s">
        <v>74</v>
      </c>
      <c r="B122" s="69" t="s">
        <v>286</v>
      </c>
      <c r="C122" s="126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126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126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126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0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0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0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0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B40">
      <selection activeCell="G1" sqref="G1:I16384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7" width="12.25390625" style="329" hidden="1" customWidth="1"/>
    <col min="8" max="8" width="12.625" style="329" hidden="1" customWidth="1"/>
    <col min="9" max="9" width="12.25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CONCATENATE("13. melléklet ",RM_ALAPADATOK!A7," ",RM_ALAPADATOK!B7," ",RM_ALAPADATOK!C7," ",RM_ALAPADATOK!D7," ",RM_ALAPADATOK!E7," ",RM_ALAPADATOK!F7," ",RM_ALAPADATOK!G7," ",RM_ALAPADATOK!H7)</f>
        <v>13. melléklet a  / 2023 ( … ) önkormányzati rendelethez</v>
      </c>
    </row>
    <row r="2" spans="1:11" s="327" customFormat="1" ht="33.75">
      <c r="A2" s="385" t="s">
        <v>445</v>
      </c>
      <c r="B2" s="582" t="str">
        <f>RM_ALAPADATOK!B13</f>
        <v>Balatonvilágos Község Önkormányzat Gazdasági Ellátó és Vagyongazdálkodó Szervezete</v>
      </c>
      <c r="C2" s="583"/>
      <c r="D2" s="583"/>
      <c r="E2" s="583"/>
      <c r="F2" s="583"/>
      <c r="G2" s="583"/>
      <c r="H2" s="583"/>
      <c r="I2" s="583"/>
      <c r="J2" s="583"/>
      <c r="K2" s="386" t="s">
        <v>37</v>
      </c>
    </row>
    <row r="3" spans="1:11" s="327" customFormat="1" ht="22.5" customHeight="1" thickBot="1">
      <c r="A3" s="387" t="s">
        <v>114</v>
      </c>
      <c r="B3" s="584" t="s">
        <v>475</v>
      </c>
      <c r="C3" s="585"/>
      <c r="D3" s="585"/>
      <c r="E3" s="585"/>
      <c r="F3" s="585"/>
      <c r="G3" s="585"/>
      <c r="H3" s="585"/>
      <c r="I3" s="585"/>
      <c r="J3" s="585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CONCATENATE('12.sz.mell'!K5)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65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65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65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65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447</v>
      </c>
      <c r="C16" s="465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460</v>
      </c>
      <c r="B41" s="339" t="s">
        <v>125</v>
      </c>
      <c r="C41" s="475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461</v>
      </c>
      <c r="B42" s="340" t="s">
        <v>462</v>
      </c>
      <c r="C42" s="466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476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58" t="s">
        <v>36</v>
      </c>
      <c r="B45" s="577"/>
      <c r="C45" s="577"/>
      <c r="D45" s="577"/>
      <c r="E45" s="577"/>
      <c r="F45" s="577"/>
      <c r="G45" s="577"/>
      <c r="H45" s="577"/>
      <c r="I45" s="577"/>
      <c r="J45" s="577"/>
      <c r="K45" s="578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397727630</v>
      </c>
      <c r="D46" s="363">
        <f t="shared" si="9"/>
        <v>65634</v>
      </c>
      <c r="E46" s="363">
        <f t="shared" si="9"/>
        <v>0</v>
      </c>
      <c r="F46" s="363">
        <f t="shared" si="9"/>
        <v>-928388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-862754</v>
      </c>
      <c r="K46" s="332">
        <f>SUM(K47:K51)</f>
        <v>396864876</v>
      </c>
    </row>
    <row r="47" spans="1:11" ht="12" customHeight="1">
      <c r="A47" s="335" t="s">
        <v>58</v>
      </c>
      <c r="B47" s="6" t="s">
        <v>32</v>
      </c>
      <c r="C47" s="475">
        <v>163679450</v>
      </c>
      <c r="D47" s="380"/>
      <c r="E47" s="380"/>
      <c r="F47" s="380">
        <v>42949</v>
      </c>
      <c r="G47" s="380"/>
      <c r="H47" s="380"/>
      <c r="I47" s="380"/>
      <c r="J47" s="364">
        <f>D47+E47+F47+G47+H47+I47</f>
        <v>42949</v>
      </c>
      <c r="K47" s="368">
        <f>C47+J47</f>
        <v>163722399</v>
      </c>
    </row>
    <row r="48" spans="1:11" ht="12" customHeight="1">
      <c r="A48" s="335" t="s">
        <v>59</v>
      </c>
      <c r="B48" s="5" t="s">
        <v>101</v>
      </c>
      <c r="C48" s="477">
        <v>25283300</v>
      </c>
      <c r="D48" s="381"/>
      <c r="E48" s="381"/>
      <c r="F48" s="381">
        <v>-42949</v>
      </c>
      <c r="G48" s="381"/>
      <c r="H48" s="381"/>
      <c r="I48" s="381"/>
      <c r="J48" s="365">
        <f>D48+E48+F48+G48+H48+I48</f>
        <v>-42949</v>
      </c>
      <c r="K48" s="369">
        <f>C48+J48</f>
        <v>25240351</v>
      </c>
    </row>
    <row r="49" spans="1:11" ht="12" customHeight="1">
      <c r="A49" s="335" t="s">
        <v>60</v>
      </c>
      <c r="B49" s="5" t="s">
        <v>77</v>
      </c>
      <c r="C49" s="477">
        <v>208764880</v>
      </c>
      <c r="D49" s="381">
        <v>65634</v>
      </c>
      <c r="E49" s="381"/>
      <c r="F49" s="381">
        <v>-928388</v>
      </c>
      <c r="G49" s="381"/>
      <c r="H49" s="381"/>
      <c r="I49" s="381"/>
      <c r="J49" s="365">
        <f>D49+E49+F49+G49+H49+I49</f>
        <v>-862754</v>
      </c>
      <c r="K49" s="369">
        <f>C49+J49</f>
        <v>207902126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928388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6172896</v>
      </c>
      <c r="K52" s="332">
        <f>SUM(K53:K55)</f>
        <v>9130596</v>
      </c>
    </row>
    <row r="53" spans="1:11" s="344" customFormat="1" ht="12" customHeight="1">
      <c r="A53" s="335" t="s">
        <v>64</v>
      </c>
      <c r="B53" s="6" t="s">
        <v>119</v>
      </c>
      <c r="C53" s="475">
        <v>2957700</v>
      </c>
      <c r="D53" s="380">
        <v>1579880</v>
      </c>
      <c r="E53" s="380"/>
      <c r="F53" s="380">
        <v>928388</v>
      </c>
      <c r="G53" s="380"/>
      <c r="H53" s="380"/>
      <c r="I53" s="380"/>
      <c r="J53" s="364">
        <f>D53+E53+F53+G53+H53+I53</f>
        <v>2508268</v>
      </c>
      <c r="K53" s="368">
        <f>C53+J53</f>
        <v>5465968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400685330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405995472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>
        <v>33</v>
      </c>
      <c r="D60" s="382">
        <v>1</v>
      </c>
      <c r="E60" s="382"/>
      <c r="F60" s="382"/>
      <c r="G60" s="382"/>
      <c r="H60" s="382"/>
      <c r="I60" s="382"/>
      <c r="J60" s="367">
        <f>D60+E60+F60+G60+H60+I60</f>
        <v>1</v>
      </c>
      <c r="K60" s="370">
        <f>C60+J60</f>
        <v>34</v>
      </c>
    </row>
    <row r="61" spans="1:11" ht="12.75" customHeight="1" thickBot="1">
      <c r="A61" s="64" t="s">
        <v>116</v>
      </c>
      <c r="B61" s="65"/>
      <c r="C61" s="382">
        <v>0</v>
      </c>
      <c r="D61" s="382">
        <v>0</v>
      </c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31">
      <selection activeCell="E16" sqref="E16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7" width="12.25390625" style="329" hidden="1" customWidth="1"/>
    <col min="8" max="8" width="12.625" style="329" hidden="1" customWidth="1"/>
    <col min="9" max="9" width="12.25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CONCATENATE("14. melléklet ",RM_ALAPADATOK!A7," ",RM_ALAPADATOK!B7," ",RM_ALAPADATOK!C7," ",RM_ALAPADATOK!D7," ",RM_ALAPADATOK!E7," ",RM_ALAPADATOK!F7," ",RM_ALAPADATOK!G7," ",RM_ALAPADATOK!H7)</f>
        <v>14. melléklet a  / 2023 ( … ) önkormányzati rendelethez</v>
      </c>
    </row>
    <row r="2" spans="1:11" s="327" customFormat="1" ht="33.75">
      <c r="A2" s="385" t="s">
        <v>445</v>
      </c>
      <c r="B2" s="582" t="str">
        <f>'13.sz.mell'!B2</f>
        <v>Balatonvilágos Község Önkormányzat Gazdasági Ellátó és Vagyongazdálkodó Szervezete</v>
      </c>
      <c r="C2" s="583"/>
      <c r="D2" s="583"/>
      <c r="E2" s="583"/>
      <c r="F2" s="583"/>
      <c r="G2" s="583"/>
      <c r="H2" s="583"/>
      <c r="I2" s="583"/>
      <c r="J2" s="583"/>
      <c r="K2" s="386" t="s">
        <v>37</v>
      </c>
    </row>
    <row r="3" spans="1:11" s="327" customFormat="1" ht="22.5" customHeight="1" thickBot="1">
      <c r="A3" s="387" t="s">
        <v>114</v>
      </c>
      <c r="B3" s="584" t="str">
        <f>CONCATENATE('10.sz.mell'!B3:J3)</f>
        <v>Kötelező feladtok bevételeinek, kiadásainak módosítása</v>
      </c>
      <c r="C3" s="585"/>
      <c r="D3" s="585"/>
      <c r="E3" s="585"/>
      <c r="F3" s="585"/>
      <c r="G3" s="585"/>
      <c r="H3" s="585"/>
      <c r="I3" s="585"/>
      <c r="J3" s="585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CONCATENATE('13.sz.mell'!K5)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65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65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65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65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447</v>
      </c>
      <c r="C16" s="465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460</v>
      </c>
      <c r="B41" s="339" t="s">
        <v>125</v>
      </c>
      <c r="C41" s="475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461</v>
      </c>
      <c r="B42" s="340" t="s">
        <v>462</v>
      </c>
      <c r="C42" s="466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476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58" t="s">
        <v>36</v>
      </c>
      <c r="B45" s="577"/>
      <c r="C45" s="577"/>
      <c r="D45" s="577"/>
      <c r="E45" s="577"/>
      <c r="F45" s="577"/>
      <c r="G45" s="577"/>
      <c r="H45" s="577"/>
      <c r="I45" s="577"/>
      <c r="J45" s="577"/>
      <c r="K45" s="578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395761630</v>
      </c>
      <c r="D46" s="363">
        <f t="shared" si="9"/>
        <v>65634</v>
      </c>
      <c r="E46" s="363">
        <f t="shared" si="9"/>
        <v>0</v>
      </c>
      <c r="F46" s="363">
        <f t="shared" si="9"/>
        <v>-928388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-862754</v>
      </c>
      <c r="K46" s="332">
        <f>SUM(K47:K51)</f>
        <v>394898876</v>
      </c>
    </row>
    <row r="47" spans="1:11" ht="12" customHeight="1">
      <c r="A47" s="335" t="s">
        <v>58</v>
      </c>
      <c r="B47" s="6" t="s">
        <v>32</v>
      </c>
      <c r="C47" s="475">
        <v>163679450</v>
      </c>
      <c r="D47" s="380"/>
      <c r="E47" s="380"/>
      <c r="F47" s="380">
        <v>42949</v>
      </c>
      <c r="G47" s="380"/>
      <c r="H47" s="380"/>
      <c r="I47" s="380"/>
      <c r="J47" s="364">
        <f>D47+E47+F47+G47+H47+I47</f>
        <v>42949</v>
      </c>
      <c r="K47" s="368">
        <f>C47+J47</f>
        <v>163722399</v>
      </c>
    </row>
    <row r="48" spans="1:11" ht="12" customHeight="1">
      <c r="A48" s="335" t="s">
        <v>59</v>
      </c>
      <c r="B48" s="5" t="s">
        <v>101</v>
      </c>
      <c r="C48" s="477">
        <v>25283300</v>
      </c>
      <c r="D48" s="381"/>
      <c r="E48" s="381"/>
      <c r="F48" s="381">
        <v>-42949</v>
      </c>
      <c r="G48" s="381"/>
      <c r="H48" s="381"/>
      <c r="I48" s="381"/>
      <c r="J48" s="365">
        <f>D48+E48+F48+G48+H48+I48</f>
        <v>-42949</v>
      </c>
      <c r="K48" s="369">
        <f>C48+J48</f>
        <v>25240351</v>
      </c>
    </row>
    <row r="49" spans="1:11" ht="12" customHeight="1">
      <c r="A49" s="335" t="s">
        <v>60</v>
      </c>
      <c r="B49" s="5" t="s">
        <v>77</v>
      </c>
      <c r="C49" s="477">
        <v>206798880</v>
      </c>
      <c r="D49" s="381">
        <v>65634</v>
      </c>
      <c r="E49" s="381"/>
      <c r="F49" s="381">
        <v>-928388</v>
      </c>
      <c r="G49" s="381"/>
      <c r="H49" s="381"/>
      <c r="I49" s="381"/>
      <c r="J49" s="365">
        <f>D49+E49+F49+G49+H49+I49</f>
        <v>-862754</v>
      </c>
      <c r="K49" s="369">
        <f>C49+J49</f>
        <v>205936126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928388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6172896</v>
      </c>
      <c r="K52" s="332">
        <f>SUM(K53:K55)</f>
        <v>9130596</v>
      </c>
    </row>
    <row r="53" spans="1:11" s="344" customFormat="1" ht="12" customHeight="1">
      <c r="A53" s="335" t="s">
        <v>64</v>
      </c>
      <c r="B53" s="6" t="s">
        <v>119</v>
      </c>
      <c r="C53" s="475">
        <v>2957700</v>
      </c>
      <c r="D53" s="380">
        <v>1579880</v>
      </c>
      <c r="E53" s="380"/>
      <c r="F53" s="380">
        <v>928388</v>
      </c>
      <c r="G53" s="380"/>
      <c r="H53" s="380"/>
      <c r="I53" s="380"/>
      <c r="J53" s="364">
        <f>D53+E53+F53+G53+H53+I53</f>
        <v>2508268</v>
      </c>
      <c r="K53" s="368">
        <f>C53+J53</f>
        <v>5465968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398719330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404029472</v>
      </c>
    </row>
    <row r="59" spans="3:11" ht="13.5" customHeight="1" thickBot="1">
      <c r="C59" s="422">
        <f>C44-C58</f>
        <v>1966000</v>
      </c>
      <c r="D59" s="423"/>
      <c r="E59" s="423"/>
      <c r="F59" s="423"/>
      <c r="G59" s="423"/>
      <c r="H59" s="423"/>
      <c r="I59" s="423"/>
      <c r="J59" s="423"/>
      <c r="K59" s="418">
        <f>K44-K58</f>
        <v>1966000</v>
      </c>
    </row>
    <row r="60" spans="1:11" ht="12.75" customHeight="1" thickBot="1">
      <c r="A60" s="64" t="s">
        <v>362</v>
      </c>
      <c r="B60" s="65"/>
      <c r="C60" s="382">
        <v>33</v>
      </c>
      <c r="D60" s="382">
        <v>1</v>
      </c>
      <c r="E60" s="382"/>
      <c r="F60" s="382"/>
      <c r="G60" s="382"/>
      <c r="H60" s="382"/>
      <c r="I60" s="382"/>
      <c r="J60" s="367">
        <f>D60+E60+F60+G60+H60+I60</f>
        <v>1</v>
      </c>
      <c r="K60" s="370">
        <f>C60+J60</f>
        <v>34</v>
      </c>
    </row>
    <row r="61" spans="1:11" ht="12.75" customHeight="1" thickBot="1">
      <c r="A61" s="64" t="s">
        <v>116</v>
      </c>
      <c r="B61" s="65"/>
      <c r="C61" s="382">
        <v>0</v>
      </c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46">
      <selection activeCell="D66" sqref="D66:D67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9" width="13.75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CONCATENATE("15. melléklet ",RM_ALAPADATOK!A7," ",RM_ALAPADATOK!B7," ",RM_ALAPADATOK!C7," ",RM_ALAPADATOK!D7," ",RM_ALAPADATOK!E7," ",RM_ALAPADATOK!F7," ",RM_ALAPADATOK!G7," ",RM_ALAPADATOK!H7)</f>
        <v>15. melléklet a  / 2023 ( … ) önkormányzati rendelethez</v>
      </c>
    </row>
    <row r="2" spans="1:11" s="327" customFormat="1" ht="33.75">
      <c r="A2" s="385" t="s">
        <v>445</v>
      </c>
      <c r="B2" s="582" t="str">
        <f>'13.sz.mell'!B2</f>
        <v>Balatonvilágos Község Önkormányzat Gazdasági Ellátó és Vagyongazdálkodó Szervezete</v>
      </c>
      <c r="C2" s="583"/>
      <c r="D2" s="583"/>
      <c r="E2" s="583"/>
      <c r="F2" s="583"/>
      <c r="G2" s="583"/>
      <c r="H2" s="583"/>
      <c r="I2" s="583"/>
      <c r="J2" s="583"/>
      <c r="K2" s="386" t="s">
        <v>37</v>
      </c>
    </row>
    <row r="3" spans="1:11" s="327" customFormat="1" ht="22.5" customHeight="1" thickBot="1">
      <c r="A3" s="387" t="s">
        <v>114</v>
      </c>
      <c r="B3" s="584" t="str">
        <f>CONCATENATE('11.sz.mell'!B3:J3)</f>
        <v>Önként vállalt feladatok bevételeinek, kiadásainak módosítása</v>
      </c>
      <c r="C3" s="585"/>
      <c r="D3" s="585"/>
      <c r="E3" s="585"/>
      <c r="F3" s="585"/>
      <c r="G3" s="585"/>
      <c r="H3" s="585"/>
      <c r="I3" s="585"/>
      <c r="J3" s="585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CONCATENATE('14.sz.mell'!K5)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460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461</v>
      </c>
      <c r="B42" s="340" t="s">
        <v>462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58" t="s">
        <v>36</v>
      </c>
      <c r="B45" s="577"/>
      <c r="C45" s="577"/>
      <c r="D45" s="577"/>
      <c r="E45" s="577"/>
      <c r="F45" s="577"/>
      <c r="G45" s="577"/>
      <c r="H45" s="577"/>
      <c r="I45" s="577"/>
      <c r="J45" s="577"/>
      <c r="K45" s="578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1966000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1966000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477">
        <v>1966000</v>
      </c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1966000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1966000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1966000</v>
      </c>
    </row>
    <row r="59" spans="3:11" ht="13.5" customHeight="1" thickBot="1">
      <c r="C59" s="422">
        <f>C44-C58</f>
        <v>-1966000</v>
      </c>
      <c r="D59" s="423"/>
      <c r="E59" s="423"/>
      <c r="F59" s="423"/>
      <c r="G59" s="423"/>
      <c r="H59" s="423"/>
      <c r="I59" s="423"/>
      <c r="J59" s="423"/>
      <c r="K59" s="418">
        <f>K44-K58</f>
        <v>-1966000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D8" sqref="D8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">
      <c r="A2" s="532" t="s">
        <v>431</v>
      </c>
      <c r="B2" s="532"/>
      <c r="C2" s="532"/>
      <c r="D2" s="532"/>
      <c r="E2" s="532"/>
      <c r="F2" s="532"/>
      <c r="G2" s="532"/>
      <c r="H2" s="532"/>
      <c r="I2" s="532"/>
    </row>
    <row r="3" spans="1:7" ht="15">
      <c r="A3" s="529" t="s">
        <v>543</v>
      </c>
      <c r="B3" s="529"/>
      <c r="C3" s="529"/>
      <c r="D3" s="529"/>
      <c r="E3" s="529"/>
      <c r="F3" s="529"/>
      <c r="G3" s="529"/>
    </row>
    <row r="6" ht="13.5">
      <c r="A6" s="298" t="s">
        <v>498</v>
      </c>
    </row>
    <row r="7" spans="1:10" ht="12.75">
      <c r="A7" s="426" t="s">
        <v>479</v>
      </c>
      <c r="B7" s="424"/>
      <c r="C7" s="427" t="s">
        <v>481</v>
      </c>
      <c r="D7" s="427">
        <v>2023</v>
      </c>
      <c r="E7" s="427" t="s">
        <v>482</v>
      </c>
      <c r="F7" s="424" t="s">
        <v>480</v>
      </c>
      <c r="G7" s="427" t="s">
        <v>483</v>
      </c>
      <c r="H7" s="427" t="s">
        <v>484</v>
      </c>
      <c r="I7" s="427"/>
      <c r="J7" s="427"/>
    </row>
    <row r="11" spans="1:7" ht="15">
      <c r="A11" s="527" t="s">
        <v>543</v>
      </c>
      <c r="B11" s="528"/>
      <c r="C11" s="528"/>
      <c r="D11" s="528"/>
      <c r="E11" s="528"/>
      <c r="F11" s="528"/>
      <c r="G11" s="528"/>
    </row>
    <row r="13" spans="1:9" ht="13.5">
      <c r="A13" s="299" t="s">
        <v>432</v>
      </c>
      <c r="B13" s="530" t="s">
        <v>544</v>
      </c>
      <c r="C13" s="531"/>
      <c r="D13" s="531"/>
      <c r="E13" s="531"/>
      <c r="F13" s="531"/>
      <c r="G13" s="531"/>
      <c r="H13" s="531"/>
      <c r="I13" s="531"/>
    </row>
    <row r="14" spans="2:9" ht="13.5">
      <c r="B14" s="428"/>
      <c r="C14" s="425"/>
      <c r="D14" s="425"/>
      <c r="E14" s="425"/>
      <c r="F14" s="425"/>
      <c r="G14" s="425"/>
      <c r="H14" s="425"/>
      <c r="I14" s="425"/>
    </row>
    <row r="15" spans="1:9" ht="13.5">
      <c r="A15" s="299" t="s">
        <v>433</v>
      </c>
      <c r="B15" s="530" t="s">
        <v>545</v>
      </c>
      <c r="C15" s="531"/>
      <c r="D15" s="531"/>
      <c r="E15" s="531"/>
      <c r="F15" s="531"/>
      <c r="G15" s="531"/>
      <c r="H15" s="531"/>
      <c r="I15" s="531"/>
    </row>
    <row r="16" spans="2:9" ht="13.5">
      <c r="B16" s="428"/>
      <c r="C16" s="425"/>
      <c r="D16" s="425"/>
      <c r="E16" s="425"/>
      <c r="F16" s="425"/>
      <c r="G16" s="425"/>
      <c r="H16" s="425"/>
      <c r="I16" s="425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1">
      <selection activeCell="G1" sqref="G1:I16384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9" width="13.75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CONCATENATE(". melléklet ",RM_ALAPADATOK!A7," ",RM_ALAPADATOK!B7," ",RM_ALAPADATOK!C7," ",RM_ALAPADATOK!D7," ",RM_ALAPADATOK!E7," ",RM_ALAPADATOK!F7," ",RM_ALAPADATOK!G7," ",RM_ALAPADATOK!H7)</f>
        <v>. melléklet a  / 2023 ( … ) önkormányzati rendelethez</v>
      </c>
    </row>
    <row r="2" spans="1:11" s="327" customFormat="1" ht="33.75">
      <c r="A2" s="385" t="s">
        <v>445</v>
      </c>
      <c r="B2" s="582" t="str">
        <f>'13.sz.mell'!B2</f>
        <v>Balatonvilágos Község Önkormányzat Gazdasági Ellátó és Vagyongazdálkodó Szervezete</v>
      </c>
      <c r="C2" s="583"/>
      <c r="D2" s="583"/>
      <c r="E2" s="583"/>
      <c r="F2" s="583"/>
      <c r="G2" s="583"/>
      <c r="H2" s="583"/>
      <c r="I2" s="583"/>
      <c r="J2" s="583"/>
      <c r="K2" s="386" t="s">
        <v>37</v>
      </c>
    </row>
    <row r="3" spans="1:11" s="327" customFormat="1" ht="22.5" customHeight="1" thickBot="1">
      <c r="A3" s="387" t="s">
        <v>114</v>
      </c>
      <c r="B3" s="584" t="str">
        <f>CONCATENATE('12.sz.mell'!B3:J3)</f>
        <v>Államigazgatási feladatok  bevételeinek, kiadásainak módosítása</v>
      </c>
      <c r="C3" s="585"/>
      <c r="D3" s="585"/>
      <c r="E3" s="585"/>
      <c r="F3" s="585"/>
      <c r="G3" s="585"/>
      <c r="H3" s="585"/>
      <c r="I3" s="585"/>
      <c r="J3" s="585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CONCATENATE('15.sz.mell'!K5)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460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461</v>
      </c>
      <c r="B42" s="340" t="s">
        <v>462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58" t="s">
        <v>36</v>
      </c>
      <c r="B45" s="577"/>
      <c r="C45" s="577"/>
      <c r="D45" s="577"/>
      <c r="E45" s="577"/>
      <c r="F45" s="577"/>
      <c r="G45" s="577"/>
      <c r="H45" s="577"/>
      <c r="I45" s="577"/>
      <c r="J45" s="577"/>
      <c r="K45" s="578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0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B37">
      <selection activeCell="J57" sqref="J57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7" width="12.00390625" style="329" hidden="1" customWidth="1"/>
    <col min="8" max="8" width="8.875" style="329" hidden="1" customWidth="1"/>
    <col min="9" max="9" width="12.00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CONCATENATE("17. melléklet ",RM_ALAPADATOK!A7," ",RM_ALAPADATOK!B7," ",RM_ALAPADATOK!C7," ",RM_ALAPADATOK!D7," ",RM_ALAPADATOK!E7," ",RM_ALAPADATOK!F7," ",RM_ALAPADATOK!G7," ",RM_ALAPADATOK!H7)</f>
        <v>17. melléklet a  / 2023 ( … ) önkormányzati rendelethez</v>
      </c>
    </row>
    <row r="2" spans="1:11" s="327" customFormat="1" ht="33.75">
      <c r="A2" s="385" t="s">
        <v>445</v>
      </c>
      <c r="B2" s="582" t="str">
        <f>CONCATENATE(RM_ALAPADATOK!B15)</f>
        <v>Balatonvilágosi Szivárvány Óvoda</v>
      </c>
      <c r="C2" s="583"/>
      <c r="D2" s="583"/>
      <c r="E2" s="583"/>
      <c r="F2" s="583"/>
      <c r="G2" s="583"/>
      <c r="H2" s="583"/>
      <c r="I2" s="583"/>
      <c r="J2" s="583"/>
      <c r="K2" s="386" t="s">
        <v>38</v>
      </c>
    </row>
    <row r="3" spans="1:11" s="327" customFormat="1" ht="22.5" customHeight="1" thickBot="1">
      <c r="A3" s="387" t="s">
        <v>114</v>
      </c>
      <c r="B3" s="584" t="s">
        <v>475</v>
      </c>
      <c r="C3" s="585"/>
      <c r="D3" s="585"/>
      <c r="E3" s="585"/>
      <c r="F3" s="585"/>
      <c r="G3" s="585"/>
      <c r="H3" s="585"/>
      <c r="I3" s="585"/>
      <c r="J3" s="585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CONCATENATE('16.sz.mell'!K5)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460</v>
      </c>
      <c r="B40" s="339" t="s">
        <v>125</v>
      </c>
      <c r="C40" s="475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461</v>
      </c>
      <c r="B41" s="340" t="s">
        <v>462</v>
      </c>
      <c r="C41" s="466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476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58" t="s">
        <v>36</v>
      </c>
      <c r="B44" s="577"/>
      <c r="C44" s="577"/>
      <c r="D44" s="577"/>
      <c r="E44" s="577"/>
      <c r="F44" s="577"/>
      <c r="G44" s="577"/>
      <c r="H44" s="577"/>
      <c r="I44" s="577"/>
      <c r="J44" s="577"/>
      <c r="K44" s="578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I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-470207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>SUM(J46:J50)</f>
        <v>-470207</v>
      </c>
      <c r="K45" s="332">
        <f>SUM(K46:K50)</f>
        <v>78893293</v>
      </c>
    </row>
    <row r="46" spans="1:11" ht="12" customHeight="1">
      <c r="A46" s="335" t="s">
        <v>58</v>
      </c>
      <c r="B46" s="6" t="s">
        <v>32</v>
      </c>
      <c r="C46" s="475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77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77">
        <v>18120900</v>
      </c>
      <c r="D48" s="381"/>
      <c r="E48" s="381"/>
      <c r="F48" s="381">
        <v>-470207</v>
      </c>
      <c r="H48" s="381"/>
      <c r="I48" s="381"/>
      <c r="J48" s="365">
        <f>D48+E48+F48+H48+I48</f>
        <v>-470207</v>
      </c>
      <c r="K48" s="369">
        <f>C48+J48</f>
        <v>17650693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I51">SUM(C52:C54)</f>
        <v>0</v>
      </c>
      <c r="D51" s="363">
        <f t="shared" si="10"/>
        <v>0</v>
      </c>
      <c r="E51" s="363">
        <f t="shared" si="10"/>
        <v>0</v>
      </c>
      <c r="F51" s="363">
        <f>SUM(F52:F54)</f>
        <v>470207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>SUM(J52:J54)</f>
        <v>470207</v>
      </c>
      <c r="K51" s="332">
        <f>SUM(K52:K54)</f>
        <v>470207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>
        <v>470207</v>
      </c>
      <c r="H52" s="380"/>
      <c r="I52" s="380"/>
      <c r="J52" s="364">
        <f>D52+E52+F52+H52+I52</f>
        <v>470207</v>
      </c>
      <c r="K52" s="368">
        <f>C52+J52</f>
        <v>470207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A40">
      <selection activeCell="J53" sqref="J53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7" width="12.25390625" style="329" hidden="1" customWidth="1"/>
    <col min="8" max="8" width="12.625" style="329" hidden="1" customWidth="1"/>
    <col min="9" max="9" width="12.25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CONCATENATE("18. melléklet ",RM_ALAPADATOK!A7," ",RM_ALAPADATOK!B7," ",RM_ALAPADATOK!C7," ",RM_ALAPADATOK!D7," ",RM_ALAPADATOK!E7," ",RM_ALAPADATOK!F7," ",RM_ALAPADATOK!G7," ",RM_ALAPADATOK!H7)</f>
        <v>18. melléklet a  / 2023 ( … ) önkormányzati rendelethez</v>
      </c>
    </row>
    <row r="2" spans="1:11" s="327" customFormat="1" ht="33.75">
      <c r="A2" s="385" t="s">
        <v>445</v>
      </c>
      <c r="B2" s="582" t="str">
        <f>CONCATENATE('17.sz.mell'!B2:J2)</f>
        <v>Balatonvilágosi Szivárvány Óvoda</v>
      </c>
      <c r="C2" s="583"/>
      <c r="D2" s="583"/>
      <c r="E2" s="583"/>
      <c r="F2" s="583"/>
      <c r="G2" s="583"/>
      <c r="H2" s="583"/>
      <c r="I2" s="583"/>
      <c r="J2" s="583"/>
      <c r="K2" s="386" t="s">
        <v>38</v>
      </c>
    </row>
    <row r="3" spans="1:11" s="327" customFormat="1" ht="22.5" customHeight="1" thickBot="1">
      <c r="A3" s="387" t="s">
        <v>114</v>
      </c>
      <c r="B3" s="584" t="str">
        <f>CONCATENATE('10.sz.mell'!B3:J3)</f>
        <v>Kötelező feladtok bevételeinek, kiadásainak módosítása</v>
      </c>
      <c r="C3" s="585"/>
      <c r="D3" s="585"/>
      <c r="E3" s="585"/>
      <c r="F3" s="585"/>
      <c r="G3" s="585"/>
      <c r="H3" s="585"/>
      <c r="I3" s="585"/>
      <c r="J3" s="585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CONCATENATE('17.sz.mell'!K5)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460</v>
      </c>
      <c r="B40" s="339" t="s">
        <v>125</v>
      </c>
      <c r="C40" s="475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461</v>
      </c>
      <c r="B41" s="340" t="s">
        <v>462</v>
      </c>
      <c r="C41" s="466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476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58" t="s">
        <v>36</v>
      </c>
      <c r="B44" s="577"/>
      <c r="C44" s="577"/>
      <c r="D44" s="577"/>
      <c r="E44" s="577"/>
      <c r="F44" s="577"/>
      <c r="G44" s="577"/>
      <c r="H44" s="577"/>
      <c r="I44" s="577"/>
      <c r="J44" s="577"/>
      <c r="K44" s="578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-470207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-470207</v>
      </c>
      <c r="K45" s="332">
        <f>SUM(K46:K50)</f>
        <v>78893293</v>
      </c>
    </row>
    <row r="46" spans="1:11" ht="12" customHeight="1">
      <c r="A46" s="335" t="s">
        <v>58</v>
      </c>
      <c r="B46" s="6" t="s">
        <v>32</v>
      </c>
      <c r="C46" s="475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77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77">
        <v>18120900</v>
      </c>
      <c r="D48" s="381"/>
      <c r="E48" s="381"/>
      <c r="F48" s="381">
        <v>-470207</v>
      </c>
      <c r="H48" s="381"/>
      <c r="I48" s="381"/>
      <c r="J48" s="365">
        <f>D48+E48+F48+H48+I48</f>
        <v>-470207</v>
      </c>
      <c r="K48" s="369">
        <f>C48+J48</f>
        <v>17650693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>SUM(F52:F54)</f>
        <v>470207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470207</v>
      </c>
      <c r="K51" s="332">
        <f>SUM(K52:K54)</f>
        <v>470207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>
        <v>470207</v>
      </c>
      <c r="H52" s="380"/>
      <c r="I52" s="380"/>
      <c r="J52" s="364">
        <f>D52+E52+F52+H52+I52</f>
        <v>470207</v>
      </c>
      <c r="K52" s="368">
        <f>C52+J52</f>
        <v>470207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G1" sqref="G1:I16384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9" width="13.75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CONCATENATE("19. melléklet ",RM_ALAPADATOK!A7," ",RM_ALAPADATOK!B7," ",RM_ALAPADATOK!C7," ",RM_ALAPADATOK!D7," ",RM_ALAPADATOK!E7," ",RM_ALAPADATOK!F7," ",RM_ALAPADATOK!G7," ",RM_ALAPADATOK!H7)</f>
        <v>19. melléklet a  / 2023 ( … ) önkormányzati rendelethez</v>
      </c>
    </row>
    <row r="2" spans="1:11" s="327" customFormat="1" ht="33.75">
      <c r="A2" s="385" t="s">
        <v>445</v>
      </c>
      <c r="B2" s="582" t="str">
        <f>CONCATENATE('18.sz.mell'!B2:J2)</f>
        <v>Balatonvilágosi Szivárvány Óvoda</v>
      </c>
      <c r="C2" s="583"/>
      <c r="D2" s="583"/>
      <c r="E2" s="583"/>
      <c r="F2" s="583"/>
      <c r="G2" s="583"/>
      <c r="H2" s="583"/>
      <c r="I2" s="583"/>
      <c r="J2" s="583"/>
      <c r="K2" s="386" t="s">
        <v>38</v>
      </c>
    </row>
    <row r="3" spans="1:11" s="327" customFormat="1" ht="22.5" customHeight="1" thickBot="1">
      <c r="A3" s="387" t="s">
        <v>114</v>
      </c>
      <c r="B3" s="584" t="str">
        <f>CONCATENATE('11.sz.mell'!B3:J3)</f>
        <v>Önként vállalt feladatok bevételeinek, kiadásainak módosítása</v>
      </c>
      <c r="C3" s="585"/>
      <c r="D3" s="585"/>
      <c r="E3" s="585"/>
      <c r="F3" s="585"/>
      <c r="G3" s="585"/>
      <c r="H3" s="585"/>
      <c r="I3" s="585"/>
      <c r="J3" s="585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CONCATENATE('18.sz.mell'!K5)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461</v>
      </c>
      <c r="B41" s="340" t="s">
        <v>462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58" t="s">
        <v>36</v>
      </c>
      <c r="B44" s="577"/>
      <c r="C44" s="577"/>
      <c r="D44" s="577"/>
      <c r="E44" s="577"/>
      <c r="F44" s="577"/>
      <c r="G44" s="577"/>
      <c r="H44" s="577"/>
      <c r="I44" s="577"/>
      <c r="J44" s="577"/>
      <c r="K44" s="578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G1" sqref="G1:I16384"/>
    </sheetView>
  </sheetViews>
  <sheetFormatPr defaultColWidth="9.375" defaultRowHeight="12.75"/>
  <cols>
    <col min="1" max="1" width="13.75390625" style="347" customWidth="1"/>
    <col min="2" max="2" width="60.625" style="329" customWidth="1"/>
    <col min="3" max="3" width="15.75390625" style="329" customWidth="1"/>
    <col min="4" max="6" width="13.75390625" style="329" customWidth="1"/>
    <col min="7" max="9" width="13.75390625" style="329" hidden="1" customWidth="1"/>
    <col min="10" max="10" width="13.75390625" style="329" customWidth="1"/>
    <col min="11" max="11" width="15.7539062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CONCATENATE("20. melléklet ",RM_ALAPADATOK!A7," ",RM_ALAPADATOK!B7," ",RM_ALAPADATOK!C7," ",RM_ALAPADATOK!D7," ",RM_ALAPADATOK!E7," ",RM_ALAPADATOK!F7," ",RM_ALAPADATOK!G7," ",RM_ALAPADATOK!H7)</f>
        <v>20. melléklet a  / 2023 ( … ) önkormányzati rendelethez</v>
      </c>
    </row>
    <row r="2" spans="1:11" s="327" customFormat="1" ht="33.75">
      <c r="A2" s="385" t="s">
        <v>445</v>
      </c>
      <c r="B2" s="582" t="str">
        <f>CONCATENATE('19.sz.mell'!B2:J2)</f>
        <v>Balatonvilágosi Szivárvány Óvoda</v>
      </c>
      <c r="C2" s="583"/>
      <c r="D2" s="583"/>
      <c r="E2" s="583"/>
      <c r="F2" s="583"/>
      <c r="G2" s="583"/>
      <c r="H2" s="583"/>
      <c r="I2" s="583"/>
      <c r="J2" s="583"/>
      <c r="K2" s="386" t="s">
        <v>38</v>
      </c>
    </row>
    <row r="3" spans="1:11" s="327" customFormat="1" ht="22.5" customHeight="1" thickBot="1">
      <c r="A3" s="387" t="s">
        <v>114</v>
      </c>
      <c r="B3" s="584" t="str">
        <f>CONCATENATE('12.sz.mell'!B3:J3)</f>
        <v>Államigazgatási feladatok  bevételeinek, kiadásainak módosítása</v>
      </c>
      <c r="C3" s="585"/>
      <c r="D3" s="585"/>
      <c r="E3" s="585"/>
      <c r="F3" s="585"/>
      <c r="G3" s="585"/>
      <c r="H3" s="585"/>
      <c r="I3" s="585"/>
      <c r="J3" s="585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8" t="s">
        <v>46</v>
      </c>
      <c r="B5" s="571" t="s">
        <v>2</v>
      </c>
      <c r="C5" s="571" t="s">
        <v>472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473</v>
      </c>
      <c r="K5" s="574" t="str">
        <f>CONCATENATE('19.sz.mell'!K5)</f>
        <v>III. számú módosítás utáni előirányzat</v>
      </c>
    </row>
    <row r="6" spans="1:11" ht="12.75" customHeight="1">
      <c r="A6" s="589"/>
      <c r="B6" s="586"/>
      <c r="C6" s="572"/>
      <c r="D6" s="572"/>
      <c r="E6" s="572"/>
      <c r="F6" s="572"/>
      <c r="G6" s="572"/>
      <c r="H6" s="572"/>
      <c r="I6" s="572"/>
      <c r="J6" s="572"/>
      <c r="K6" s="575"/>
    </row>
    <row r="7" spans="1:11" s="330" customFormat="1" ht="9.75" customHeight="1" thickBot="1">
      <c r="A7" s="590"/>
      <c r="B7" s="587"/>
      <c r="C7" s="573"/>
      <c r="D7" s="573"/>
      <c r="E7" s="573"/>
      <c r="F7" s="573"/>
      <c r="G7" s="573"/>
      <c r="H7" s="573"/>
      <c r="I7" s="573"/>
      <c r="J7" s="573"/>
      <c r="K7" s="576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79" t="s">
        <v>35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461</v>
      </c>
      <c r="B41" s="340" t="s">
        <v>462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58" t="s">
        <v>36</v>
      </c>
      <c r="B44" s="577"/>
      <c r="C44" s="577"/>
      <c r="D44" s="577"/>
      <c r="E44" s="577"/>
      <c r="F44" s="577"/>
      <c r="G44" s="577"/>
      <c r="H44" s="577"/>
      <c r="I44" s="577"/>
      <c r="J44" s="577"/>
      <c r="K44" s="578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34" sqref="G34"/>
    </sheetView>
  </sheetViews>
  <sheetFormatPr defaultColWidth="9.375" defaultRowHeight="12.75"/>
  <cols>
    <col min="1" max="1" width="5.75390625" style="484" customWidth="1"/>
    <col min="2" max="2" width="54.75390625" style="1" customWidth="1"/>
    <col min="3" max="4" width="17.625" style="1" customWidth="1"/>
    <col min="5" max="16384" width="9.375" style="1" customWidth="1"/>
  </cols>
  <sheetData>
    <row r="1" ht="14.25" customHeight="1">
      <c r="D1" s="485" t="s">
        <v>628</v>
      </c>
    </row>
    <row r="3" spans="2:4" ht="31.5" customHeight="1">
      <c r="B3" s="591" t="s">
        <v>609</v>
      </c>
      <c r="C3" s="591"/>
      <c r="D3" s="591"/>
    </row>
    <row r="4" spans="1:4" s="488" customFormat="1" ht="15.75" thickBot="1">
      <c r="A4" s="486"/>
      <c r="B4" s="487"/>
      <c r="D4" s="489" t="str">
        <f>'[1]KV_27.sz.mell'!I2</f>
        <v>Forintban!</v>
      </c>
    </row>
    <row r="5" spans="1:4" s="493" customFormat="1" ht="48" customHeight="1" thickBot="1">
      <c r="A5" s="490" t="s">
        <v>610</v>
      </c>
      <c r="B5" s="491" t="s">
        <v>2</v>
      </c>
      <c r="C5" s="491" t="s">
        <v>611</v>
      </c>
      <c r="D5" s="492" t="s">
        <v>633</v>
      </c>
    </row>
    <row r="6" spans="1:4" s="493" customFormat="1" ht="13.5" customHeight="1" thickBot="1">
      <c r="A6" s="494" t="s">
        <v>341</v>
      </c>
      <c r="B6" s="495" t="s">
        <v>342</v>
      </c>
      <c r="C6" s="495" t="s">
        <v>343</v>
      </c>
      <c r="D6" s="496" t="s">
        <v>345</v>
      </c>
    </row>
    <row r="7" spans="1:4" ht="18" customHeight="1">
      <c r="A7" s="497" t="s">
        <v>3</v>
      </c>
      <c r="B7" s="498" t="s">
        <v>612</v>
      </c>
      <c r="C7" s="499"/>
      <c r="D7" s="475"/>
    </row>
    <row r="8" spans="1:4" ht="18" customHeight="1">
      <c r="A8" s="500" t="s">
        <v>4</v>
      </c>
      <c r="B8" s="501" t="s">
        <v>613</v>
      </c>
      <c r="C8" s="502"/>
      <c r="D8" s="477"/>
    </row>
    <row r="9" spans="1:4" ht="18" customHeight="1">
      <c r="A9" s="500" t="s">
        <v>5</v>
      </c>
      <c r="B9" s="501" t="s">
        <v>614</v>
      </c>
      <c r="C9" s="502"/>
      <c r="D9" s="477"/>
    </row>
    <row r="10" spans="1:4" ht="18" customHeight="1">
      <c r="A10" s="500" t="s">
        <v>6</v>
      </c>
      <c r="B10" s="501" t="s">
        <v>615</v>
      </c>
      <c r="C10" s="502"/>
      <c r="D10" s="477"/>
    </row>
    <row r="11" spans="1:4" ht="18" customHeight="1">
      <c r="A11" s="500" t="s">
        <v>7</v>
      </c>
      <c r="B11" s="501" t="s">
        <v>616</v>
      </c>
      <c r="C11" s="502">
        <f>SUM(C12:C17)</f>
        <v>262674380</v>
      </c>
      <c r="D11" s="502">
        <f>SUM(D12:D17)</f>
        <v>43114039</v>
      </c>
    </row>
    <row r="12" spans="1:4" ht="18" customHeight="1">
      <c r="A12" s="500" t="s">
        <v>8</v>
      </c>
      <c r="B12" s="501" t="s">
        <v>617</v>
      </c>
      <c r="C12" s="502">
        <v>220066685</v>
      </c>
      <c r="D12" s="477">
        <v>40823513</v>
      </c>
    </row>
    <row r="13" spans="1:4" ht="18" customHeight="1">
      <c r="A13" s="500" t="s">
        <v>9</v>
      </c>
      <c r="B13" s="503" t="s">
        <v>618</v>
      </c>
      <c r="C13" s="502">
        <v>42475695</v>
      </c>
      <c r="D13" s="477">
        <v>2290526</v>
      </c>
    </row>
    <row r="14" spans="1:4" ht="18" customHeight="1">
      <c r="A14" s="500" t="s">
        <v>11</v>
      </c>
      <c r="B14" s="503" t="s">
        <v>619</v>
      </c>
      <c r="C14" s="502">
        <v>132000</v>
      </c>
      <c r="D14" s="477">
        <v>0</v>
      </c>
    </row>
    <row r="15" spans="1:4" ht="18" customHeight="1">
      <c r="A15" s="500" t="s">
        <v>12</v>
      </c>
      <c r="B15" s="503" t="s">
        <v>620</v>
      </c>
      <c r="C15" s="502"/>
      <c r="D15" s="477"/>
    </row>
    <row r="16" spans="1:4" ht="18" customHeight="1">
      <c r="A16" s="500" t="s">
        <v>13</v>
      </c>
      <c r="B16" s="503" t="s">
        <v>621</v>
      </c>
      <c r="C16" s="502"/>
      <c r="D16" s="477"/>
    </row>
    <row r="17" spans="1:4" ht="22.5" customHeight="1">
      <c r="A17" s="500" t="s">
        <v>14</v>
      </c>
      <c r="B17" s="503" t="s">
        <v>622</v>
      </c>
      <c r="C17" s="502"/>
      <c r="D17" s="477"/>
    </row>
    <row r="18" spans="1:4" ht="18" customHeight="1">
      <c r="A18" s="500" t="s">
        <v>15</v>
      </c>
      <c r="B18" s="501" t="s">
        <v>623</v>
      </c>
      <c r="C18" s="502"/>
      <c r="D18" s="477"/>
    </row>
    <row r="19" spans="1:4" ht="18" customHeight="1">
      <c r="A19" s="500" t="s">
        <v>16</v>
      </c>
      <c r="B19" s="501" t="s">
        <v>624</v>
      </c>
      <c r="C19" s="502"/>
      <c r="D19" s="477"/>
    </row>
    <row r="20" spans="1:4" ht="18" customHeight="1">
      <c r="A20" s="500" t="s">
        <v>17</v>
      </c>
      <c r="B20" s="501" t="s">
        <v>625</v>
      </c>
      <c r="C20" s="502"/>
      <c r="D20" s="477"/>
    </row>
    <row r="21" spans="1:4" ht="18" customHeight="1">
      <c r="A21" s="500" t="s">
        <v>18</v>
      </c>
      <c r="B21" s="501" t="s">
        <v>626</v>
      </c>
      <c r="C21" s="502"/>
      <c r="D21" s="477"/>
    </row>
    <row r="22" spans="1:4" ht="18" customHeight="1">
      <c r="A22" s="500" t="s">
        <v>19</v>
      </c>
      <c r="B22" s="501" t="s">
        <v>627</v>
      </c>
      <c r="C22" s="502"/>
      <c r="D22" s="477"/>
    </row>
    <row r="23" spans="1:4" ht="18" customHeight="1">
      <c r="A23" s="500" t="s">
        <v>20</v>
      </c>
      <c r="B23" s="504"/>
      <c r="C23" s="40"/>
      <c r="D23" s="477"/>
    </row>
    <row r="24" spans="1:4" ht="18" customHeight="1">
      <c r="A24" s="500" t="s">
        <v>21</v>
      </c>
      <c r="B24" s="505"/>
      <c r="C24" s="40"/>
      <c r="D24" s="477"/>
    </row>
    <row r="25" spans="1:4" ht="18" customHeight="1">
      <c r="A25" s="500" t="s">
        <v>22</v>
      </c>
      <c r="B25" s="505"/>
      <c r="C25" s="40"/>
      <c r="D25" s="477"/>
    </row>
    <row r="26" spans="1:4" ht="18" customHeight="1">
      <c r="A26" s="500" t="s">
        <v>23</v>
      </c>
      <c r="B26" s="505"/>
      <c r="C26" s="40"/>
      <c r="D26" s="477"/>
    </row>
    <row r="27" spans="1:4" ht="18" customHeight="1">
      <c r="A27" s="500" t="s">
        <v>24</v>
      </c>
      <c r="B27" s="505"/>
      <c r="C27" s="40"/>
      <c r="D27" s="477"/>
    </row>
    <row r="28" spans="1:4" ht="18" customHeight="1">
      <c r="A28" s="500" t="s">
        <v>25</v>
      </c>
      <c r="B28" s="505"/>
      <c r="C28" s="40"/>
      <c r="D28" s="477"/>
    </row>
    <row r="29" spans="1:4" ht="18" customHeight="1">
      <c r="A29" s="500" t="s">
        <v>26</v>
      </c>
      <c r="B29" s="505"/>
      <c r="C29" s="40"/>
      <c r="D29" s="477"/>
    </row>
    <row r="30" spans="1:4" ht="18" customHeight="1">
      <c r="A30" s="500" t="s">
        <v>27</v>
      </c>
      <c r="B30" s="505"/>
      <c r="C30" s="40"/>
      <c r="D30" s="477"/>
    </row>
    <row r="31" spans="1:4" ht="18" customHeight="1" thickBot="1">
      <c r="A31" s="506" t="s">
        <v>28</v>
      </c>
      <c r="B31" s="507"/>
      <c r="C31" s="508"/>
      <c r="D31" s="476"/>
    </row>
    <row r="32" spans="1:4" ht="18" customHeight="1" thickBot="1">
      <c r="A32" s="509" t="s">
        <v>29</v>
      </c>
      <c r="B32" s="510" t="s">
        <v>504</v>
      </c>
      <c r="C32" s="511">
        <f>+C7+C8+C9+C10+C11+C18+C19+C20+C21+C22+C23+C24+C25+C26+C27+C28+C29+C30+C31</f>
        <v>262674380</v>
      </c>
      <c r="D32" s="512">
        <f>+D7+D8+D9+D10+D11+D18+D19+D20+D21+D22+D23+D24+D25+D26+D27+D28+D29+D30+D31</f>
        <v>43114039</v>
      </c>
    </row>
    <row r="33" spans="1:4" ht="8.25" customHeight="1">
      <c r="A33" s="513"/>
      <c r="B33" s="592"/>
      <c r="C33" s="592"/>
      <c r="D33" s="592"/>
    </row>
  </sheetData>
  <sheetProtection/>
  <mergeCells count="2">
    <mergeCell ref="B3:D3"/>
    <mergeCell ref="B33:D3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"/>
  <sheetViews>
    <sheetView zoomScale="120" zoomScaleNormal="120" zoomScalePageLayoutView="120" workbookViewId="0" topLeftCell="A4">
      <selection activeCell="E27" sqref="E27"/>
    </sheetView>
  </sheetViews>
  <sheetFormatPr defaultColWidth="9.375" defaultRowHeight="12.75"/>
  <cols>
    <col min="1" max="1" width="9.375" style="442" customWidth="1"/>
    <col min="2" max="2" width="88.625" style="442" customWidth="1"/>
    <col min="3" max="3" width="15.75390625" style="442" customWidth="1"/>
    <col min="4" max="5" width="16.75390625" style="442" customWidth="1"/>
    <col min="6" max="6" width="4.75390625" style="453" customWidth="1"/>
    <col min="7" max="16384" width="9.375" style="442" customWidth="1"/>
  </cols>
  <sheetData>
    <row r="1" spans="2:6" ht="47.25" customHeight="1">
      <c r="B1" s="593" t="str">
        <f>+CONCATENATE("A ",RM_ALAPADATOK!D7,". évi általános működés és ágazati feladatok támogatásának alakulása jogcímenként")</f>
        <v>A 2023. évi általános működés és ágazati feladatok támogatásának alakulása jogcímenként</v>
      </c>
      <c r="C1" s="593"/>
      <c r="D1" s="593"/>
      <c r="E1" s="523"/>
      <c r="F1" s="594" t="str">
        <f>CONCATENATE("22. melléklet ",RM_ALAPADATOK!A7," ",RM_ALAPADATOK!B7," ",RM_ALAPADATOK!C7," ",RM_ALAPADATOK!D7," ",RM_ALAPADATOK!E7," ",RM_ALAPADATOK!F7," ",RM_ALAPADATOK!G7," ",RM_ALAPADATOK!H7)</f>
        <v>22. melléklet a  / 2023 ( … ) önkormányzati rendelethez</v>
      </c>
    </row>
    <row r="2" spans="2:6" ht="22.5" customHeight="1" thickBot="1">
      <c r="B2" s="443"/>
      <c r="C2" s="443"/>
      <c r="D2" s="444" t="s">
        <v>501</v>
      </c>
      <c r="E2" s="444"/>
      <c r="F2" s="594"/>
    </row>
    <row r="3" spans="1:6" s="447" customFormat="1" ht="54" customHeight="1" thickBot="1">
      <c r="A3" s="478"/>
      <c r="B3" s="445" t="s">
        <v>502</v>
      </c>
      <c r="C3" s="446" t="str">
        <f>+CONCATENATE(RM_ALAPADATOK!D7,". évi tervezett támogatás összesen")</f>
        <v>2023. évi tervezett támogatás összesen</v>
      </c>
      <c r="D3" s="595" t="s">
        <v>503</v>
      </c>
      <c r="E3" s="597" t="s">
        <v>648</v>
      </c>
      <c r="F3" s="594"/>
    </row>
    <row r="4" spans="1:6" s="449" customFormat="1" ht="13.5" thickBot="1">
      <c r="A4" s="479"/>
      <c r="B4" s="448"/>
      <c r="C4" s="605"/>
      <c r="D4" s="606"/>
      <c r="E4" s="596"/>
      <c r="F4" s="594"/>
    </row>
    <row r="5" spans="1:9" ht="12.75">
      <c r="A5" s="480" t="s">
        <v>571</v>
      </c>
      <c r="B5" s="601" t="s">
        <v>572</v>
      </c>
      <c r="C5" s="598">
        <v>7389200</v>
      </c>
      <c r="D5" s="598">
        <v>7389200</v>
      </c>
      <c r="E5" s="598">
        <v>7389200</v>
      </c>
      <c r="F5" s="594"/>
      <c r="I5" s="442" t="s">
        <v>647</v>
      </c>
    </row>
    <row r="6" spans="1:6" ht="12.75" customHeight="1">
      <c r="A6" s="480" t="s">
        <v>573</v>
      </c>
      <c r="B6" s="601" t="s">
        <v>574</v>
      </c>
      <c r="C6" s="599">
        <v>12495500</v>
      </c>
      <c r="D6" s="599">
        <v>12495500</v>
      </c>
      <c r="E6" s="599">
        <v>12495500</v>
      </c>
      <c r="F6" s="594"/>
    </row>
    <row r="7" spans="1:6" ht="12.75">
      <c r="A7" s="480" t="s">
        <v>575</v>
      </c>
      <c r="B7" s="601" t="s">
        <v>576</v>
      </c>
      <c r="C7" s="599">
        <v>100000</v>
      </c>
      <c r="D7" s="599">
        <v>100000</v>
      </c>
      <c r="E7" s="599">
        <v>100000</v>
      </c>
      <c r="F7" s="594"/>
    </row>
    <row r="8" spans="1:6" ht="12.75">
      <c r="A8" s="480" t="s">
        <v>577</v>
      </c>
      <c r="B8" s="601" t="s">
        <v>578</v>
      </c>
      <c r="C8" s="599">
        <v>5511030</v>
      </c>
      <c r="D8" s="599">
        <v>5511030</v>
      </c>
      <c r="E8" s="599">
        <v>5511030</v>
      </c>
      <c r="F8" s="594"/>
    </row>
    <row r="9" spans="1:6" ht="12.75">
      <c r="A9" s="480" t="s">
        <v>579</v>
      </c>
      <c r="B9" s="601" t="s">
        <v>580</v>
      </c>
      <c r="C9" s="599">
        <v>4800000</v>
      </c>
      <c r="D9" s="599">
        <v>4800000</v>
      </c>
      <c r="E9" s="599">
        <v>4800000</v>
      </c>
      <c r="F9" s="594"/>
    </row>
    <row r="10" spans="1:6" ht="12.75">
      <c r="A10" s="480" t="s">
        <v>581</v>
      </c>
      <c r="B10" s="601" t="s">
        <v>582</v>
      </c>
      <c r="C10" s="599">
        <v>306000</v>
      </c>
      <c r="D10" s="599">
        <v>306000</v>
      </c>
      <c r="E10" s="599">
        <v>306000</v>
      </c>
      <c r="F10" s="594"/>
    </row>
    <row r="11" spans="1:6" ht="12.75">
      <c r="A11" s="480" t="s">
        <v>575</v>
      </c>
      <c r="B11" s="601" t="s">
        <v>583</v>
      </c>
      <c r="C11" s="599">
        <v>3915653</v>
      </c>
      <c r="D11" s="599">
        <v>3915653</v>
      </c>
      <c r="E11" s="599">
        <v>3915653</v>
      </c>
      <c r="F11" s="594"/>
    </row>
    <row r="12" spans="1:6" ht="12.75">
      <c r="A12" s="480" t="s">
        <v>577</v>
      </c>
      <c r="B12" s="601" t="s">
        <v>584</v>
      </c>
      <c r="C12" s="599">
        <v>4870000</v>
      </c>
      <c r="D12" s="599">
        <v>4870000</v>
      </c>
      <c r="E12" s="603">
        <v>9170000</v>
      </c>
      <c r="F12" s="594"/>
    </row>
    <row r="13" spans="1:6" ht="12.75" customHeight="1">
      <c r="A13" s="480" t="s">
        <v>585</v>
      </c>
      <c r="B13" s="601" t="s">
        <v>586</v>
      </c>
      <c r="C13" s="599">
        <v>5446667</v>
      </c>
      <c r="D13" s="599">
        <v>5446667</v>
      </c>
      <c r="E13" s="603">
        <v>461333</v>
      </c>
      <c r="F13" s="594"/>
    </row>
    <row r="14" spans="1:6" ht="12.75">
      <c r="A14" s="480"/>
      <c r="B14" s="601" t="s">
        <v>587</v>
      </c>
      <c r="C14" s="599">
        <v>2723333</v>
      </c>
      <c r="D14" s="599">
        <v>2723333</v>
      </c>
      <c r="E14" s="603">
        <v>2309667</v>
      </c>
      <c r="F14" s="594"/>
    </row>
    <row r="15" spans="1:6" ht="12.75">
      <c r="A15" s="480" t="s">
        <v>588</v>
      </c>
      <c r="B15" s="602" t="s">
        <v>589</v>
      </c>
      <c r="C15" s="599">
        <v>31353867</v>
      </c>
      <c r="D15" s="599">
        <v>27182613</v>
      </c>
      <c r="E15" s="603">
        <v>28586053</v>
      </c>
      <c r="F15" s="594"/>
    </row>
    <row r="16" spans="1:6" ht="12.75">
      <c r="A16" s="480"/>
      <c r="B16" s="602" t="s">
        <v>590</v>
      </c>
      <c r="C16" s="599">
        <v>15676933</v>
      </c>
      <c r="D16" s="599">
        <v>13591307</v>
      </c>
      <c r="E16" s="603">
        <v>14293027</v>
      </c>
      <c r="F16" s="594"/>
    </row>
    <row r="17" spans="1:6" ht="12.75">
      <c r="A17" s="481" t="s">
        <v>591</v>
      </c>
      <c r="B17" s="601" t="s">
        <v>592</v>
      </c>
      <c r="C17" s="599">
        <v>2952400</v>
      </c>
      <c r="D17" s="599">
        <v>2583350</v>
      </c>
      <c r="E17" s="603">
        <v>2878590</v>
      </c>
      <c r="F17" s="594"/>
    </row>
    <row r="18" spans="1:6" ht="12.75">
      <c r="A18" s="481" t="s">
        <v>593</v>
      </c>
      <c r="B18" s="601" t="s">
        <v>594</v>
      </c>
      <c r="C18" s="599">
        <v>5142300</v>
      </c>
      <c r="D18" s="599">
        <v>5142300</v>
      </c>
      <c r="E18" s="603">
        <v>5142300</v>
      </c>
      <c r="F18" s="594"/>
    </row>
    <row r="19" spans="1:6" ht="12.75">
      <c r="A19" s="481" t="s">
        <v>595</v>
      </c>
      <c r="B19" s="601" t="s">
        <v>596</v>
      </c>
      <c r="C19" s="599">
        <v>14095566</v>
      </c>
      <c r="D19" s="599">
        <v>14095566</v>
      </c>
      <c r="E19" s="603">
        <v>13717524</v>
      </c>
      <c r="F19" s="594"/>
    </row>
    <row r="20" spans="1:6" ht="12.75">
      <c r="A20" s="481" t="s">
        <v>597</v>
      </c>
      <c r="B20" s="601" t="s">
        <v>598</v>
      </c>
      <c r="C20" s="599">
        <v>16903448</v>
      </c>
      <c r="D20" s="599">
        <v>16903448</v>
      </c>
      <c r="E20" s="603">
        <v>27819228</v>
      </c>
      <c r="F20" s="594"/>
    </row>
    <row r="21" spans="1:6" ht="13.5" thickBot="1">
      <c r="A21" s="481" t="s">
        <v>599</v>
      </c>
      <c r="B21" s="601" t="s">
        <v>600</v>
      </c>
      <c r="C21" s="600">
        <v>3259749</v>
      </c>
      <c r="D21" s="600">
        <v>3259749</v>
      </c>
      <c r="E21" s="604">
        <v>3259749</v>
      </c>
      <c r="F21" s="594"/>
    </row>
    <row r="22" spans="1:6" s="452" customFormat="1" ht="19.5" customHeight="1" thickBot="1">
      <c r="A22" s="450"/>
      <c r="B22" s="451" t="s">
        <v>504</v>
      </c>
      <c r="C22" s="607">
        <f>SUM(C5:C21)</f>
        <v>136941646</v>
      </c>
      <c r="D22" s="608">
        <f>SUM(D5:D21)</f>
        <v>130315716</v>
      </c>
      <c r="E22" s="608">
        <f>SUM(E5:E21)</f>
        <v>142154854</v>
      </c>
      <c r="F22" s="594"/>
    </row>
    <row r="23" ht="12.75">
      <c r="B23" s="454"/>
    </row>
  </sheetData>
  <sheetProtection/>
  <mergeCells count="2">
    <mergeCell ref="B1:D1"/>
    <mergeCell ref="F1:F2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08" t="s">
        <v>418</v>
      </c>
      <c r="B1" s="59"/>
    </row>
    <row r="2" spans="1:2" ht="12.75">
      <c r="A2" s="59"/>
      <c r="B2" s="59"/>
    </row>
    <row r="3" spans="1:2" ht="12.75">
      <c r="A3" s="210"/>
      <c r="B3" s="210"/>
    </row>
    <row r="4" spans="1:2" ht="15">
      <c r="A4" s="61"/>
      <c r="B4" s="214"/>
    </row>
    <row r="5" spans="1:2" ht="15">
      <c r="A5" s="61"/>
      <c r="B5" s="214"/>
    </row>
    <row r="6" spans="1:2" s="53" customFormat="1" ht="15">
      <c r="A6" s="61" t="s">
        <v>553</v>
      </c>
      <c r="B6" s="210"/>
    </row>
    <row r="7" spans="1:2" s="53" customFormat="1" ht="12.75">
      <c r="A7" s="210"/>
      <c r="B7" s="210"/>
    </row>
    <row r="8" spans="1:2" s="53" customFormat="1" ht="12.75">
      <c r="A8" s="210"/>
      <c r="B8" s="210"/>
    </row>
    <row r="9" spans="1:2" ht="12.75">
      <c r="A9" s="210" t="s">
        <v>389</v>
      </c>
      <c r="B9" s="210" t="s">
        <v>369</v>
      </c>
    </row>
    <row r="10" spans="1:2" ht="12.75">
      <c r="A10" s="210" t="s">
        <v>387</v>
      </c>
      <c r="B10" s="210" t="s">
        <v>375</v>
      </c>
    </row>
    <row r="11" spans="1:2" ht="12.75">
      <c r="A11" s="210" t="s">
        <v>388</v>
      </c>
      <c r="B11" s="210" t="s">
        <v>376</v>
      </c>
    </row>
    <row r="12" spans="1:2" ht="12.75">
      <c r="A12" s="210"/>
      <c r="B12" s="210"/>
    </row>
    <row r="13" spans="1:2" ht="15">
      <c r="A13" s="61" t="str">
        <f>+CONCATENATE(LEFT(A6,4),". évi előirányzat módosítások BEVÉTELEK")</f>
        <v>2023. évi előirányzat módosítások BEVÉTELEK</v>
      </c>
      <c r="B13" s="214"/>
    </row>
    <row r="14" spans="1:2" ht="12.75">
      <c r="A14" s="210"/>
      <c r="B14" s="210"/>
    </row>
    <row r="15" spans="1:2" s="53" customFormat="1" ht="12.75">
      <c r="A15" s="210" t="s">
        <v>390</v>
      </c>
      <c r="B15" s="210" t="s">
        <v>370</v>
      </c>
    </row>
    <row r="16" spans="1:2" ht="12.75">
      <c r="A16" s="210" t="s">
        <v>391</v>
      </c>
      <c r="B16" s="210" t="s">
        <v>377</v>
      </c>
    </row>
    <row r="17" spans="1:2" ht="12.75">
      <c r="A17" s="210" t="s">
        <v>392</v>
      </c>
      <c r="B17" s="210" t="s">
        <v>378</v>
      </c>
    </row>
    <row r="18" spans="1:2" ht="12.75">
      <c r="A18" s="210"/>
      <c r="B18" s="210"/>
    </row>
    <row r="19" spans="1:2" ht="13.5">
      <c r="A19" s="217" t="str">
        <f>+CONCATENATE(LEFT(A6,4),". módosítás utáni módosított előrirányzatok BEVÉTELEK")</f>
        <v>2023.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393</v>
      </c>
      <c r="B21" s="210" t="s">
        <v>371</v>
      </c>
    </row>
    <row r="22" spans="1:2" ht="12.75">
      <c r="A22" s="210" t="s">
        <v>394</v>
      </c>
      <c r="B22" s="210" t="s">
        <v>379</v>
      </c>
    </row>
    <row r="23" spans="1:2" ht="12.75">
      <c r="A23" s="210" t="s">
        <v>395</v>
      </c>
      <c r="B23" s="210" t="s">
        <v>380</v>
      </c>
    </row>
    <row r="24" spans="1:2" ht="12.75">
      <c r="A24" s="210"/>
      <c r="B24" s="210"/>
    </row>
    <row r="25" spans="1:2" ht="15">
      <c r="A25" s="61" t="str">
        <f>+CONCATENATE(LEFT(A6,4),". évi eredeti előirányzat KIADÁSOK")</f>
        <v>2023.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396</v>
      </c>
      <c r="B27" s="210" t="s">
        <v>372</v>
      </c>
    </row>
    <row r="28" spans="1:2" ht="12.75">
      <c r="A28" s="210" t="s">
        <v>397</v>
      </c>
      <c r="B28" s="210" t="s">
        <v>381</v>
      </c>
    </row>
    <row r="29" spans="1:2" ht="12.75">
      <c r="A29" s="210" t="s">
        <v>398</v>
      </c>
      <c r="B29" s="210" t="s">
        <v>382</v>
      </c>
    </row>
    <row r="30" spans="1:2" ht="12.75">
      <c r="A30" s="210"/>
      <c r="B30" s="210"/>
    </row>
    <row r="31" spans="1:2" ht="15">
      <c r="A31" s="61" t="str">
        <f>+CONCATENATE(LEFT(A6,4),". évi előirányzat módosítások KIADÁSOK")</f>
        <v>2023.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399</v>
      </c>
      <c r="B33" s="210" t="s">
        <v>373</v>
      </c>
    </row>
    <row r="34" spans="1:2" ht="12.75">
      <c r="A34" s="210" t="s">
        <v>400</v>
      </c>
      <c r="B34" s="210" t="s">
        <v>383</v>
      </c>
    </row>
    <row r="35" spans="1:2" ht="12.75">
      <c r="A35" s="210" t="s">
        <v>401</v>
      </c>
      <c r="B35" s="210" t="s">
        <v>384</v>
      </c>
    </row>
    <row r="36" spans="1:2" ht="12.75">
      <c r="A36" s="210"/>
      <c r="B36" s="210"/>
    </row>
    <row r="37" spans="1:2" ht="15">
      <c r="A37" s="216" t="str">
        <f>+CONCATENATE(LEFT(A6,4),". módosítás utáni módosított előirányzatok KIADÁSOK")</f>
        <v>2023.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402</v>
      </c>
      <c r="B39" s="210" t="s">
        <v>374</v>
      </c>
    </row>
    <row r="40" spans="1:2" ht="12.75">
      <c r="A40" s="210" t="s">
        <v>403</v>
      </c>
      <c r="B40" s="210" t="s">
        <v>385</v>
      </c>
    </row>
    <row r="41" spans="1:2" ht="12.75">
      <c r="A41" s="210" t="s">
        <v>404</v>
      </c>
      <c r="B41" s="210" t="s">
        <v>386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tabSelected="1" zoomScale="120" zoomScaleNormal="120" zoomScaleSheetLayoutView="100" workbookViewId="0" topLeftCell="A103">
      <selection activeCell="N131" sqref="N131"/>
    </sheetView>
  </sheetViews>
  <sheetFormatPr defaultColWidth="9.375" defaultRowHeight="12.75"/>
  <cols>
    <col min="1" max="1" width="7.50390625" style="114" customWidth="1"/>
    <col min="2" max="2" width="59.625" style="114" customWidth="1"/>
    <col min="3" max="3" width="14.75390625" style="115" customWidth="1"/>
    <col min="4" max="6" width="14.75390625" style="135" customWidth="1"/>
    <col min="7" max="9" width="14.75390625" style="135" hidden="1" customWidth="1"/>
    <col min="10" max="11" width="14.75390625" style="135" customWidth="1"/>
    <col min="12" max="16384" width="9.375" style="135" customWidth="1"/>
  </cols>
  <sheetData>
    <row r="1" spans="1:11" ht="15">
      <c r="A1" s="306"/>
      <c r="B1" s="547" t="str">
        <f>CONCATENATE("1. melléklet ",RM_ALAPADATOK!A7," ",RM_ALAPADATOK!B7," ",RM_ALAPADATOK!C7," ",RM_ALAPADATOK!D7," ",RM_ALAPADATOK!E7," ",RM_ALAPADATOK!F7," ",RM_ALAPADATOK!G7," ",RM_ALAPADATOK!H7)</f>
        <v>1.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ht="1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">
      <c r="A3" s="549">
        <f>CONCATENATE(RM_ALAPADATOK!A4)</f>
      </c>
      <c r="B3" s="549"/>
      <c r="C3" s="550"/>
      <c r="D3" s="549"/>
      <c r="E3" s="549"/>
      <c r="F3" s="549"/>
      <c r="G3" s="549"/>
      <c r="H3" s="549"/>
      <c r="I3" s="549"/>
      <c r="J3" s="549"/>
      <c r="K3" s="549"/>
    </row>
    <row r="4" spans="1:11" ht="15">
      <c r="A4" s="549" t="s">
        <v>554</v>
      </c>
      <c r="B4" s="549"/>
      <c r="C4" s="550"/>
      <c r="D4" s="549"/>
      <c r="E4" s="549"/>
      <c r="F4" s="549"/>
      <c r="G4" s="549"/>
      <c r="H4" s="549"/>
      <c r="I4" s="549"/>
      <c r="J4" s="549"/>
      <c r="K4" s="549"/>
    </row>
    <row r="5" spans="1:11" ht="1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3" t="s">
        <v>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5.75" customHeight="1" thickBot="1">
      <c r="A7" s="545" t="s">
        <v>81</v>
      </c>
      <c r="B7" s="545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">
      <c r="A8" s="534" t="s">
        <v>46</v>
      </c>
      <c r="B8" s="536" t="s">
        <v>2</v>
      </c>
      <c r="C8" s="538" t="str">
        <f>+CONCATENATE(LEFT(RM_ÖSSZEFÜGGÉSEK!A6,4),". évi")</f>
        <v>2023. évi</v>
      </c>
      <c r="D8" s="539"/>
      <c r="E8" s="540"/>
      <c r="F8" s="540"/>
      <c r="G8" s="540"/>
      <c r="H8" s="540"/>
      <c r="I8" s="540"/>
      <c r="J8" s="540"/>
      <c r="K8" s="541"/>
    </row>
    <row r="9" spans="1:11" ht="37.5" customHeight="1" thickBot="1">
      <c r="A9" s="535"/>
      <c r="B9" s="537"/>
      <c r="C9" s="283" t="s">
        <v>365</v>
      </c>
      <c r="D9" s="303" t="s">
        <v>499</v>
      </c>
      <c r="E9" s="303" t="s">
        <v>632</v>
      </c>
      <c r="F9" s="303" t="s">
        <v>476</v>
      </c>
      <c r="G9" s="303" t="s">
        <v>477</v>
      </c>
      <c r="H9" s="303" t="s">
        <v>500</v>
      </c>
      <c r="I9" s="303" t="s">
        <v>478</v>
      </c>
      <c r="J9" s="304" t="s">
        <v>430</v>
      </c>
      <c r="K9" s="305" t="s">
        <v>634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>+D12+D13+D14+D15+D17+D18+D16</f>
        <v>8200770</v>
      </c>
      <c r="E11" s="125">
        <f>+E12+E13+E14+E15+E17+E18+E16</f>
        <v>1286489</v>
      </c>
      <c r="F11" s="125">
        <f>+F12+F13+F14+F15+F17+F18+F16</f>
        <v>36089384</v>
      </c>
      <c r="G11" s="125">
        <f>+G12+G13+G14+G15+G17+G18</f>
        <v>0</v>
      </c>
      <c r="H11" s="125">
        <f>+H12+H13+H14+H15+H17+H18</f>
        <v>0</v>
      </c>
      <c r="I11" s="125">
        <f>+I12+I13+I14+I15+I17+I18</f>
        <v>0</v>
      </c>
      <c r="J11" s="125">
        <f>+J12+J13+J14+J15+J17+J18+J16</f>
        <v>45576643</v>
      </c>
      <c r="K11" s="67">
        <f>+K12+K13+K14+K15+K16+K17+K18</f>
        <v>182518289</v>
      </c>
    </row>
    <row r="12" spans="1:11" s="137" customFormat="1" ht="12" customHeight="1">
      <c r="A12" s="12" t="s">
        <v>58</v>
      </c>
      <c r="B12" s="138" t="s">
        <v>138</v>
      </c>
      <c r="C12" s="456">
        <v>39387383</v>
      </c>
      <c r="D12" s="127"/>
      <c r="E12" s="127"/>
      <c r="F12" s="193">
        <v>4300000</v>
      </c>
      <c r="G12" s="127"/>
      <c r="H12" s="127"/>
      <c r="I12" s="127"/>
      <c r="J12" s="166">
        <f aca="true" t="shared" si="0" ref="J12:J18">D12+E12+F12+G12+H12+I12</f>
        <v>4300000</v>
      </c>
      <c r="K12" s="165">
        <f aca="true" t="shared" si="1" ref="K12:K18">C12+J12</f>
        <v>43687383</v>
      </c>
    </row>
    <row r="13" spans="1:11" s="137" customFormat="1" ht="12" customHeight="1">
      <c r="A13" s="11" t="s">
        <v>59</v>
      </c>
      <c r="B13" s="139" t="s">
        <v>139</v>
      </c>
      <c r="C13" s="457">
        <v>55200800</v>
      </c>
      <c r="D13" s="126">
        <v>-6256880</v>
      </c>
      <c r="E13" s="127"/>
      <c r="F13" s="194">
        <v>7700532</v>
      </c>
      <c r="G13" s="127"/>
      <c r="H13" s="127"/>
      <c r="I13" s="127"/>
      <c r="J13" s="166">
        <f t="shared" si="0"/>
        <v>1443652</v>
      </c>
      <c r="K13" s="165">
        <f t="shared" si="1"/>
        <v>56644452</v>
      </c>
    </row>
    <row r="14" spans="1:11" s="137" customFormat="1" ht="12" customHeight="1">
      <c r="A14" s="11" t="s">
        <v>60</v>
      </c>
      <c r="B14" s="139" t="s">
        <v>140</v>
      </c>
      <c r="C14" s="457">
        <v>8094700</v>
      </c>
      <c r="D14" s="126">
        <v>-369050</v>
      </c>
      <c r="E14" s="127"/>
      <c r="F14" s="194">
        <v>1451292</v>
      </c>
      <c r="G14" s="127"/>
      <c r="H14" s="127"/>
      <c r="I14" s="127"/>
      <c r="J14" s="166">
        <f t="shared" si="0"/>
        <v>1082242</v>
      </c>
      <c r="K14" s="165">
        <f t="shared" si="1"/>
        <v>9176942</v>
      </c>
    </row>
    <row r="15" spans="1:11" s="137" customFormat="1" ht="12" customHeight="1">
      <c r="A15" s="11" t="s">
        <v>61</v>
      </c>
      <c r="B15" s="139" t="s">
        <v>546</v>
      </c>
      <c r="C15" s="457">
        <v>30999014</v>
      </c>
      <c r="D15" s="126"/>
      <c r="E15" s="127"/>
      <c r="F15" s="194">
        <v>12276634</v>
      </c>
      <c r="G15" s="127"/>
      <c r="H15" s="127"/>
      <c r="I15" s="127"/>
      <c r="J15" s="166">
        <f t="shared" si="0"/>
        <v>12276634</v>
      </c>
      <c r="K15" s="165">
        <f t="shared" si="1"/>
        <v>43275648</v>
      </c>
    </row>
    <row r="16" spans="1:11" s="137" customFormat="1" ht="12" customHeight="1">
      <c r="A16" s="11" t="s">
        <v>78</v>
      </c>
      <c r="B16" s="139" t="s">
        <v>141</v>
      </c>
      <c r="C16" s="457">
        <v>3259749</v>
      </c>
      <c r="D16" s="126"/>
      <c r="E16" s="127"/>
      <c r="F16" s="194">
        <v>1087928</v>
      </c>
      <c r="G16" s="127"/>
      <c r="H16" s="127"/>
      <c r="I16" s="127"/>
      <c r="J16" s="166">
        <f t="shared" si="0"/>
        <v>1087928</v>
      </c>
      <c r="K16" s="165">
        <f t="shared" si="1"/>
        <v>4347677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94">
        <v>1200150</v>
      </c>
      <c r="F17" s="194"/>
      <c r="G17" s="127"/>
      <c r="H17" s="127"/>
      <c r="I17" s="127"/>
      <c r="J17" s="166">
        <f t="shared" si="0"/>
        <v>16026850</v>
      </c>
      <c r="K17" s="165">
        <f t="shared" si="1"/>
        <v>16026850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94">
        <v>86339</v>
      </c>
      <c r="F18" s="194">
        <v>9272998</v>
      </c>
      <c r="G18" s="127"/>
      <c r="H18" s="127"/>
      <c r="I18" s="127"/>
      <c r="J18" s="166">
        <f t="shared" si="0"/>
        <v>9359337</v>
      </c>
      <c r="K18" s="165">
        <f t="shared" si="1"/>
        <v>9359337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2" ref="D19:K19">+D20+D21+D22+D23+D24</f>
        <v>2050000</v>
      </c>
      <c r="E19" s="125">
        <f t="shared" si="2"/>
        <v>0</v>
      </c>
      <c r="F19" s="125">
        <f t="shared" si="2"/>
        <v>4915622</v>
      </c>
      <c r="G19" s="125">
        <f t="shared" si="2"/>
        <v>0</v>
      </c>
      <c r="H19" s="125">
        <f t="shared" si="2"/>
        <v>0</v>
      </c>
      <c r="I19" s="125">
        <f t="shared" si="2"/>
        <v>0</v>
      </c>
      <c r="J19" s="125">
        <f t="shared" si="2"/>
        <v>6965622</v>
      </c>
      <c r="K19" s="67">
        <f t="shared" si="2"/>
        <v>26950598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3" ref="J20:J25">D20+E20+F20+G20+H20+I20</f>
        <v>0</v>
      </c>
      <c r="K20" s="165">
        <f aca="true" t="shared" si="4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3"/>
        <v>0</v>
      </c>
      <c r="K21" s="165">
        <f t="shared" si="4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3"/>
        <v>0</v>
      </c>
      <c r="K22" s="165">
        <f t="shared" si="4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3"/>
        <v>0</v>
      </c>
      <c r="K23" s="165">
        <f t="shared" si="4"/>
        <v>0</v>
      </c>
    </row>
    <row r="24" spans="1:11" s="137" customFormat="1" ht="12" customHeight="1">
      <c r="A24" s="11" t="s">
        <v>68</v>
      </c>
      <c r="B24" s="139" t="s">
        <v>145</v>
      </c>
      <c r="C24" s="457">
        <v>19984976</v>
      </c>
      <c r="D24" s="126">
        <v>2050000</v>
      </c>
      <c r="E24" s="127"/>
      <c r="F24" s="194">
        <v>4915622</v>
      </c>
      <c r="G24" s="127"/>
      <c r="H24" s="127"/>
      <c r="I24" s="127"/>
      <c r="J24" s="166">
        <f t="shared" si="3"/>
        <v>6965622</v>
      </c>
      <c r="K24" s="165">
        <f t="shared" si="4"/>
        <v>26950598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3"/>
        <v>0</v>
      </c>
      <c r="K25" s="165">
        <f t="shared" si="4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95604930</v>
      </c>
      <c r="D26" s="125">
        <f aca="true" t="shared" si="5" ref="D26:K26">+D27+D28+D29+D30+D31</f>
        <v>99274511</v>
      </c>
      <c r="E26" s="125">
        <f t="shared" si="5"/>
        <v>0</v>
      </c>
      <c r="F26" s="125">
        <f t="shared" si="5"/>
        <v>0</v>
      </c>
      <c r="G26" s="125">
        <f t="shared" si="5"/>
        <v>0</v>
      </c>
      <c r="H26" s="125">
        <f t="shared" si="5"/>
        <v>0</v>
      </c>
      <c r="I26" s="125">
        <f t="shared" si="5"/>
        <v>0</v>
      </c>
      <c r="J26" s="125">
        <f t="shared" si="5"/>
        <v>99274511</v>
      </c>
      <c r="K26" s="67">
        <f t="shared" si="5"/>
        <v>194879441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6" ref="J27:J32">D27+E27+F27+G27+H27+I27</f>
        <v>0</v>
      </c>
      <c r="K27" s="165">
        <f aca="true" t="shared" si="7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6"/>
        <v>0</v>
      </c>
      <c r="K28" s="165">
        <f t="shared" si="7"/>
        <v>0</v>
      </c>
    </row>
    <row r="29" spans="1:11" s="137" customFormat="1" ht="12" customHeight="1">
      <c r="A29" s="11" t="s">
        <v>49</v>
      </c>
      <c r="B29" s="139" t="s">
        <v>282</v>
      </c>
      <c r="C29" s="457">
        <v>330400</v>
      </c>
      <c r="D29" s="126"/>
      <c r="E29" s="127"/>
      <c r="F29" s="127"/>
      <c r="G29" s="127"/>
      <c r="H29" s="127"/>
      <c r="I29" s="127"/>
      <c r="J29" s="166">
        <f t="shared" si="6"/>
        <v>0</v>
      </c>
      <c r="K29" s="165">
        <f t="shared" si="7"/>
        <v>330400</v>
      </c>
    </row>
    <row r="30" spans="1:11" s="137" customFormat="1" ht="12" customHeight="1">
      <c r="A30" s="11" t="s">
        <v>50</v>
      </c>
      <c r="B30" s="139" t="s">
        <v>283</v>
      </c>
      <c r="C30" s="457"/>
      <c r="D30" s="126"/>
      <c r="E30" s="127"/>
      <c r="F30" s="127"/>
      <c r="G30" s="127"/>
      <c r="H30" s="127"/>
      <c r="I30" s="127"/>
      <c r="J30" s="166">
        <f t="shared" si="6"/>
        <v>0</v>
      </c>
      <c r="K30" s="165">
        <f t="shared" si="7"/>
        <v>0</v>
      </c>
    </row>
    <row r="31" spans="1:11" s="137" customFormat="1" ht="12" customHeight="1">
      <c r="A31" s="11" t="s">
        <v>89</v>
      </c>
      <c r="B31" s="139" t="s">
        <v>150</v>
      </c>
      <c r="C31" s="457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6"/>
        <v>99274511</v>
      </c>
      <c r="K31" s="165">
        <f t="shared" si="7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58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6"/>
        <v>95274511</v>
      </c>
      <c r="K32" s="165">
        <f t="shared" si="7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8" ref="D33:I33">+D34+D35+D36+D37+D38+D39+D41+D40</f>
        <v>0</v>
      </c>
      <c r="E33" s="131">
        <f t="shared" si="8"/>
        <v>0</v>
      </c>
      <c r="F33" s="131">
        <f t="shared" si="8"/>
        <v>0</v>
      </c>
      <c r="G33" s="131">
        <f t="shared" si="8"/>
        <v>0</v>
      </c>
      <c r="H33" s="131">
        <f t="shared" si="8"/>
        <v>0</v>
      </c>
      <c r="I33" s="131">
        <f t="shared" si="8"/>
        <v>0</v>
      </c>
      <c r="J33" s="131">
        <f>+J34+J35+J36+J37+J38+J39+J41+J40</f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56">
        <v>169000000</v>
      </c>
      <c r="D34" s="166"/>
      <c r="E34" s="166"/>
      <c r="F34" s="166"/>
      <c r="G34" s="166"/>
      <c r="H34" s="166"/>
      <c r="I34" s="166"/>
      <c r="J34" s="166">
        <f aca="true" t="shared" si="9" ref="J34:J41">D34+E34+F34+G34+H34+I34</f>
        <v>0</v>
      </c>
      <c r="K34" s="165">
        <f aca="true" t="shared" si="10" ref="K34:K41">C34+J34</f>
        <v>169000000</v>
      </c>
    </row>
    <row r="35" spans="1:11" s="137" customFormat="1" ht="12" customHeight="1">
      <c r="A35" s="11" t="s">
        <v>153</v>
      </c>
      <c r="B35" s="138" t="s">
        <v>548</v>
      </c>
      <c r="C35" s="457">
        <v>33000000</v>
      </c>
      <c r="D35" s="126"/>
      <c r="E35" s="127"/>
      <c r="F35" s="127"/>
      <c r="G35" s="127"/>
      <c r="H35" s="127"/>
      <c r="I35" s="127"/>
      <c r="J35" s="166">
        <f t="shared" si="9"/>
        <v>0</v>
      </c>
      <c r="K35" s="165">
        <f t="shared" si="10"/>
        <v>33000000</v>
      </c>
    </row>
    <row r="36" spans="1:11" s="137" customFormat="1" ht="12" customHeight="1">
      <c r="A36" s="11" t="s">
        <v>154</v>
      </c>
      <c r="B36" s="139" t="s">
        <v>410</v>
      </c>
      <c r="C36" s="457">
        <v>10000000</v>
      </c>
      <c r="D36" s="126"/>
      <c r="E36" s="127"/>
      <c r="F36" s="127"/>
      <c r="G36" s="127"/>
      <c r="H36" s="127"/>
      <c r="I36" s="127"/>
      <c r="J36" s="166">
        <f t="shared" si="9"/>
        <v>0</v>
      </c>
      <c r="K36" s="165">
        <f t="shared" si="10"/>
        <v>10000000</v>
      </c>
    </row>
    <row r="37" spans="1:11" s="137" customFormat="1" ht="12" customHeight="1">
      <c r="A37" s="11" t="s">
        <v>155</v>
      </c>
      <c r="B37" s="139" t="s">
        <v>411</v>
      </c>
      <c r="C37" s="457">
        <v>42000000</v>
      </c>
      <c r="D37" s="126"/>
      <c r="E37" s="127"/>
      <c r="F37" s="127"/>
      <c r="G37" s="127"/>
      <c r="H37" s="127"/>
      <c r="I37" s="127"/>
      <c r="J37" s="166">
        <f t="shared" si="9"/>
        <v>0</v>
      </c>
      <c r="K37" s="165">
        <f t="shared" si="10"/>
        <v>42000000</v>
      </c>
    </row>
    <row r="38" spans="1:11" s="137" customFormat="1" ht="12" customHeight="1">
      <c r="A38" s="11" t="s">
        <v>413</v>
      </c>
      <c r="B38" s="139" t="s">
        <v>412</v>
      </c>
      <c r="C38" s="457">
        <v>200000</v>
      </c>
      <c r="D38" s="126"/>
      <c r="E38" s="127"/>
      <c r="F38" s="127"/>
      <c r="G38" s="127"/>
      <c r="H38" s="127"/>
      <c r="I38" s="127"/>
      <c r="J38" s="166">
        <f t="shared" si="9"/>
        <v>0</v>
      </c>
      <c r="K38" s="165">
        <f t="shared" si="10"/>
        <v>200000</v>
      </c>
    </row>
    <row r="39" spans="1:11" s="137" customFormat="1" ht="12" customHeight="1">
      <c r="A39" s="11" t="s">
        <v>414</v>
      </c>
      <c r="B39" s="139" t="s">
        <v>549</v>
      </c>
      <c r="C39" s="457">
        <v>150000</v>
      </c>
      <c r="D39" s="126"/>
      <c r="E39" s="127"/>
      <c r="F39" s="127"/>
      <c r="G39" s="127"/>
      <c r="H39" s="127"/>
      <c r="I39" s="127"/>
      <c r="J39" s="166">
        <f t="shared" si="9"/>
        <v>0</v>
      </c>
      <c r="K39" s="165">
        <f t="shared" si="10"/>
        <v>150000</v>
      </c>
    </row>
    <row r="40" spans="1:11" s="137" customFormat="1" ht="12" customHeight="1">
      <c r="A40" s="11" t="s">
        <v>415</v>
      </c>
      <c r="B40" s="139" t="s">
        <v>550</v>
      </c>
      <c r="C40" s="457">
        <v>650000</v>
      </c>
      <c r="D40" s="128"/>
      <c r="E40" s="247"/>
      <c r="F40" s="247"/>
      <c r="G40" s="247"/>
      <c r="H40" s="247"/>
      <c r="I40" s="247"/>
      <c r="J40" s="271"/>
      <c r="K40" s="165">
        <f t="shared" si="10"/>
        <v>650000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9"/>
        <v>0</v>
      </c>
      <c r="K41" s="165">
        <f t="shared" si="10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55515173</v>
      </c>
      <c r="D42" s="125">
        <f aca="true" t="shared" si="11" ref="D42:K42">SUM(D43:D53)</f>
        <v>0</v>
      </c>
      <c r="E42" s="125">
        <f t="shared" si="11"/>
        <v>4535000</v>
      </c>
      <c r="F42" s="125">
        <f t="shared" si="11"/>
        <v>0</v>
      </c>
      <c r="G42" s="125">
        <f t="shared" si="11"/>
        <v>0</v>
      </c>
      <c r="H42" s="125">
        <f t="shared" si="11"/>
        <v>0</v>
      </c>
      <c r="I42" s="125">
        <f t="shared" si="11"/>
        <v>0</v>
      </c>
      <c r="J42" s="125">
        <f t="shared" si="11"/>
        <v>4535000</v>
      </c>
      <c r="K42" s="67">
        <f t="shared" si="11"/>
        <v>60050173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2" ref="J43:J53">D43+E43+F43+G43+H43+I43</f>
        <v>0</v>
      </c>
      <c r="K43" s="165">
        <f aca="true" t="shared" si="13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57">
        <v>25979027</v>
      </c>
      <c r="D44" s="126"/>
      <c r="E44" s="127"/>
      <c r="F44" s="127"/>
      <c r="G44" s="127"/>
      <c r="H44" s="127"/>
      <c r="I44" s="127"/>
      <c r="J44" s="166">
        <f t="shared" si="12"/>
        <v>0</v>
      </c>
      <c r="K44" s="165">
        <f t="shared" si="13"/>
        <v>25979027</v>
      </c>
    </row>
    <row r="45" spans="1:11" s="137" customFormat="1" ht="12" customHeight="1">
      <c r="A45" s="11" t="s">
        <v>53</v>
      </c>
      <c r="B45" s="139" t="s">
        <v>160</v>
      </c>
      <c r="C45" s="457">
        <v>5393716</v>
      </c>
      <c r="D45" s="126"/>
      <c r="E45" s="127"/>
      <c r="F45" s="127"/>
      <c r="G45" s="127"/>
      <c r="H45" s="127"/>
      <c r="I45" s="127"/>
      <c r="J45" s="166">
        <f t="shared" si="12"/>
        <v>0</v>
      </c>
      <c r="K45" s="165">
        <f t="shared" si="13"/>
        <v>5393716</v>
      </c>
    </row>
    <row r="46" spans="1:11" s="137" customFormat="1" ht="12" customHeight="1">
      <c r="A46" s="11" t="s">
        <v>93</v>
      </c>
      <c r="B46" s="139" t="s">
        <v>161</v>
      </c>
      <c r="C46" s="457"/>
      <c r="D46" s="126"/>
      <c r="E46" s="194">
        <v>3590000</v>
      </c>
      <c r="F46" s="127">
        <v>945000</v>
      </c>
      <c r="G46" s="127"/>
      <c r="H46" s="127"/>
      <c r="I46" s="127"/>
      <c r="J46" s="166">
        <f t="shared" si="12"/>
        <v>4535000</v>
      </c>
      <c r="K46" s="165">
        <f t="shared" si="13"/>
        <v>4535000</v>
      </c>
    </row>
    <row r="47" spans="1:11" s="137" customFormat="1" ht="12" customHeight="1">
      <c r="A47" s="11" t="s">
        <v>94</v>
      </c>
      <c r="B47" s="139" t="s">
        <v>162</v>
      </c>
      <c r="C47" s="457">
        <v>17813380</v>
      </c>
      <c r="D47" s="126"/>
      <c r="E47" s="194"/>
      <c r="F47" s="127"/>
      <c r="G47" s="127"/>
      <c r="H47" s="127"/>
      <c r="I47" s="127"/>
      <c r="J47" s="166">
        <f t="shared" si="12"/>
        <v>0</v>
      </c>
      <c r="K47" s="165">
        <f t="shared" si="13"/>
        <v>17813380</v>
      </c>
    </row>
    <row r="48" spans="1:11" s="137" customFormat="1" ht="12" customHeight="1">
      <c r="A48" s="11" t="s">
        <v>95</v>
      </c>
      <c r="B48" s="139" t="s">
        <v>163</v>
      </c>
      <c r="C48" s="457">
        <v>6319050</v>
      </c>
      <c r="D48" s="126"/>
      <c r="E48" s="194">
        <v>945000</v>
      </c>
      <c r="F48" s="127">
        <v>-945000</v>
      </c>
      <c r="G48" s="127"/>
      <c r="H48" s="127"/>
      <c r="I48" s="127"/>
      <c r="J48" s="166">
        <f t="shared" si="12"/>
        <v>0</v>
      </c>
      <c r="K48" s="165">
        <f t="shared" si="13"/>
        <v>6319050</v>
      </c>
    </row>
    <row r="49" spans="1:11" s="137" customFormat="1" ht="12" customHeight="1">
      <c r="A49" s="11" t="s">
        <v>96</v>
      </c>
      <c r="B49" s="139" t="s">
        <v>164</v>
      </c>
      <c r="C49" s="457"/>
      <c r="D49" s="126"/>
      <c r="E49" s="127"/>
      <c r="F49" s="127"/>
      <c r="G49" s="127"/>
      <c r="H49" s="127"/>
      <c r="I49" s="127"/>
      <c r="J49" s="166">
        <f t="shared" si="12"/>
        <v>0</v>
      </c>
      <c r="K49" s="165">
        <f t="shared" si="13"/>
        <v>0</v>
      </c>
    </row>
    <row r="50" spans="1:11" s="137" customFormat="1" ht="12" customHeight="1">
      <c r="A50" s="11" t="s">
        <v>97</v>
      </c>
      <c r="B50" s="139" t="s">
        <v>417</v>
      </c>
      <c r="C50" s="457">
        <v>10000</v>
      </c>
      <c r="D50" s="126"/>
      <c r="E50" s="127"/>
      <c r="F50" s="127"/>
      <c r="G50" s="127"/>
      <c r="H50" s="127"/>
      <c r="I50" s="127"/>
      <c r="J50" s="166">
        <f t="shared" si="12"/>
        <v>0</v>
      </c>
      <c r="K50" s="165">
        <f t="shared" si="13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2"/>
        <v>0</v>
      </c>
      <c r="K51" s="165">
        <f t="shared" si="13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2"/>
        <v>0</v>
      </c>
      <c r="K52" s="165">
        <f t="shared" si="13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2"/>
        <v>0</v>
      </c>
      <c r="K53" s="228">
        <f t="shared" si="13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4" ref="D54:K54">SUM(D55:D59)</f>
        <v>0</v>
      </c>
      <c r="E54" s="125">
        <f t="shared" si="14"/>
        <v>0</v>
      </c>
      <c r="F54" s="125">
        <f t="shared" si="14"/>
        <v>0</v>
      </c>
      <c r="G54" s="125">
        <f t="shared" si="14"/>
        <v>0</v>
      </c>
      <c r="H54" s="125">
        <f t="shared" si="14"/>
        <v>0</v>
      </c>
      <c r="I54" s="125">
        <f t="shared" si="14"/>
        <v>0</v>
      </c>
      <c r="J54" s="125">
        <f t="shared" si="14"/>
        <v>0</v>
      </c>
      <c r="K54" s="67">
        <f t="shared" si="14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5" ref="D60:K60">SUM(D61:D63)</f>
        <v>0</v>
      </c>
      <c r="E60" s="125">
        <f t="shared" si="15"/>
        <v>0</v>
      </c>
      <c r="F60" s="125">
        <f t="shared" si="15"/>
        <v>0</v>
      </c>
      <c r="G60" s="125">
        <f t="shared" si="15"/>
        <v>0</v>
      </c>
      <c r="H60" s="125">
        <f t="shared" si="15"/>
        <v>0</v>
      </c>
      <c r="I60" s="125">
        <f t="shared" si="15"/>
        <v>0</v>
      </c>
      <c r="J60" s="125">
        <f t="shared" si="15"/>
        <v>0</v>
      </c>
      <c r="K60" s="67">
        <f t="shared" si="15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6" ref="D65:K65">SUM(D66:D68)</f>
        <v>0</v>
      </c>
      <c r="E65" s="125">
        <f t="shared" si="16"/>
        <v>0</v>
      </c>
      <c r="F65" s="125">
        <f t="shared" si="16"/>
        <v>0</v>
      </c>
      <c r="G65" s="125">
        <f t="shared" si="16"/>
        <v>0</v>
      </c>
      <c r="H65" s="125">
        <f t="shared" si="16"/>
        <v>0</v>
      </c>
      <c r="I65" s="125">
        <f t="shared" si="16"/>
        <v>0</v>
      </c>
      <c r="J65" s="125">
        <f t="shared" si="16"/>
        <v>0</v>
      </c>
      <c r="K65" s="67">
        <f t="shared" si="16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563046725</v>
      </c>
      <c r="D70" s="131">
        <f aca="true" t="shared" si="17" ref="D70:K70">+D11+D19+D26+D33+D42+D54+D60+D65</f>
        <v>109525281</v>
      </c>
      <c r="E70" s="131">
        <f t="shared" si="17"/>
        <v>5821489</v>
      </c>
      <c r="F70" s="131">
        <f t="shared" si="17"/>
        <v>41005006</v>
      </c>
      <c r="G70" s="131">
        <f t="shared" si="17"/>
        <v>0</v>
      </c>
      <c r="H70" s="131">
        <f t="shared" si="17"/>
        <v>0</v>
      </c>
      <c r="I70" s="131">
        <f t="shared" si="17"/>
        <v>0</v>
      </c>
      <c r="J70" s="131">
        <f t="shared" si="17"/>
        <v>156351776</v>
      </c>
      <c r="K70" s="164">
        <f t="shared" si="17"/>
        <v>719398501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8" ref="D71:K71">SUM(D72:D74)</f>
        <v>0</v>
      </c>
      <c r="E71" s="125">
        <f t="shared" si="18"/>
        <v>0</v>
      </c>
      <c r="F71" s="125">
        <f t="shared" si="18"/>
        <v>0</v>
      </c>
      <c r="G71" s="125">
        <f t="shared" si="18"/>
        <v>0</v>
      </c>
      <c r="H71" s="125">
        <f t="shared" si="18"/>
        <v>0</v>
      </c>
      <c r="I71" s="125">
        <f t="shared" si="18"/>
        <v>0</v>
      </c>
      <c r="J71" s="125">
        <f t="shared" si="18"/>
        <v>0</v>
      </c>
      <c r="K71" s="67">
        <f t="shared" si="18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19" ref="D75:K75">SUM(D76:D79)</f>
        <v>0</v>
      </c>
      <c r="E75" s="125">
        <f t="shared" si="19"/>
        <v>0</v>
      </c>
      <c r="F75" s="125">
        <f t="shared" si="19"/>
        <v>0</v>
      </c>
      <c r="G75" s="125">
        <f t="shared" si="19"/>
        <v>0</v>
      </c>
      <c r="H75" s="125">
        <f t="shared" si="19"/>
        <v>0</v>
      </c>
      <c r="I75" s="125">
        <f t="shared" si="19"/>
        <v>0</v>
      </c>
      <c r="J75" s="125">
        <f t="shared" si="19"/>
        <v>0</v>
      </c>
      <c r="K75" s="67">
        <f t="shared" si="19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0" ref="D80:K80">SUM(D81:D82)</f>
        <v>10572856</v>
      </c>
      <c r="E80" s="125">
        <f t="shared" si="20"/>
        <v>0</v>
      </c>
      <c r="F80" s="125">
        <f t="shared" si="20"/>
        <v>0</v>
      </c>
      <c r="G80" s="125">
        <f t="shared" si="20"/>
        <v>0</v>
      </c>
      <c r="H80" s="125">
        <f t="shared" si="20"/>
        <v>0</v>
      </c>
      <c r="I80" s="125">
        <f t="shared" si="20"/>
        <v>0</v>
      </c>
      <c r="J80" s="125">
        <f t="shared" si="20"/>
        <v>10572856</v>
      </c>
      <c r="K80" s="67">
        <f t="shared" si="20"/>
        <v>258059324</v>
      </c>
    </row>
    <row r="81" spans="1:11" s="137" customFormat="1" ht="12" customHeight="1">
      <c r="A81" s="12" t="s">
        <v>221</v>
      </c>
      <c r="B81" s="138" t="s">
        <v>200</v>
      </c>
      <c r="C81" s="459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1" ref="D83:K83">SUM(D84:D86)</f>
        <v>0</v>
      </c>
      <c r="E83" s="125">
        <f t="shared" si="21"/>
        <v>0</v>
      </c>
      <c r="F83" s="125">
        <f t="shared" si="21"/>
        <v>6220032</v>
      </c>
      <c r="G83" s="125">
        <f t="shared" si="21"/>
        <v>0</v>
      </c>
      <c r="H83" s="125">
        <f t="shared" si="21"/>
        <v>0</v>
      </c>
      <c r="I83" s="125">
        <f t="shared" si="21"/>
        <v>0</v>
      </c>
      <c r="J83" s="125">
        <f t="shared" si="21"/>
        <v>6220032</v>
      </c>
      <c r="K83" s="67">
        <f t="shared" si="21"/>
        <v>6220032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>
        <v>6220032</v>
      </c>
      <c r="G84" s="129"/>
      <c r="H84" s="129"/>
      <c r="I84" s="129"/>
      <c r="J84" s="275">
        <f>D84+E84+F84+G84+H84+I84</f>
        <v>6220032</v>
      </c>
      <c r="K84" s="225">
        <f>C84+J84</f>
        <v>6220032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2" ref="D87:K87">SUM(D88:D91)</f>
        <v>0</v>
      </c>
      <c r="E87" s="125">
        <f t="shared" si="22"/>
        <v>0</v>
      </c>
      <c r="F87" s="125">
        <f t="shared" si="22"/>
        <v>0</v>
      </c>
      <c r="G87" s="125">
        <f t="shared" si="22"/>
        <v>0</v>
      </c>
      <c r="H87" s="125">
        <f t="shared" si="22"/>
        <v>0</v>
      </c>
      <c r="I87" s="125">
        <f t="shared" si="22"/>
        <v>0</v>
      </c>
      <c r="J87" s="125">
        <f t="shared" si="22"/>
        <v>0</v>
      </c>
      <c r="K87" s="67">
        <f t="shared" si="22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3" ref="J88:J93">D88+E88+F88+G88+H88+I88</f>
        <v>0</v>
      </c>
      <c r="K88" s="225">
        <f aca="true" t="shared" si="24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3"/>
        <v>0</v>
      </c>
      <c r="K89" s="225">
        <f t="shared" si="24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3"/>
        <v>0</v>
      </c>
      <c r="K90" s="225">
        <f t="shared" si="24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3"/>
        <v>0</v>
      </c>
      <c r="K91" s="225">
        <f t="shared" si="24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3"/>
        <v>0</v>
      </c>
      <c r="K92" s="67">
        <f t="shared" si="24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3"/>
        <v>0</v>
      </c>
      <c r="K93" s="67">
        <f t="shared" si="24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5" ref="D94:K94">+D71+D75+D80+D83+D87+D93+D92</f>
        <v>10572856</v>
      </c>
      <c r="E94" s="131">
        <f t="shared" si="25"/>
        <v>0</v>
      </c>
      <c r="F94" s="131">
        <f t="shared" si="25"/>
        <v>6220032</v>
      </c>
      <c r="G94" s="131">
        <f t="shared" si="25"/>
        <v>0</v>
      </c>
      <c r="H94" s="131">
        <f t="shared" si="25"/>
        <v>0</v>
      </c>
      <c r="I94" s="131">
        <f t="shared" si="25"/>
        <v>0</v>
      </c>
      <c r="J94" s="131">
        <f t="shared" si="25"/>
        <v>16792888</v>
      </c>
      <c r="K94" s="164">
        <f t="shared" si="25"/>
        <v>264279356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810533193</v>
      </c>
      <c r="D95" s="131">
        <f aca="true" t="shared" si="26" ref="D95:K95">+D70+D94</f>
        <v>120098137</v>
      </c>
      <c r="E95" s="131">
        <f t="shared" si="26"/>
        <v>5821489</v>
      </c>
      <c r="F95" s="131">
        <f t="shared" si="26"/>
        <v>47225038</v>
      </c>
      <c r="G95" s="131">
        <f t="shared" si="26"/>
        <v>0</v>
      </c>
      <c r="H95" s="131">
        <f t="shared" si="26"/>
        <v>0</v>
      </c>
      <c r="I95" s="131">
        <f t="shared" si="26"/>
        <v>0</v>
      </c>
      <c r="J95" s="131">
        <f t="shared" si="26"/>
        <v>173144664</v>
      </c>
      <c r="K95" s="164">
        <f t="shared" si="26"/>
        <v>983677857</v>
      </c>
    </row>
    <row r="96" spans="1:3" s="137" customFormat="1" ht="30.75" customHeight="1">
      <c r="A96" s="2"/>
      <c r="B96" s="3"/>
      <c r="C96" s="72"/>
    </row>
    <row r="97" spans="1:11" ht="16.5" customHeight="1">
      <c r="A97" s="544" t="s">
        <v>31</v>
      </c>
      <c r="B97" s="544"/>
      <c r="C97" s="544"/>
      <c r="D97" s="544"/>
      <c r="E97" s="544"/>
      <c r="F97" s="544"/>
      <c r="G97" s="544"/>
      <c r="H97" s="544"/>
      <c r="I97" s="544"/>
      <c r="J97" s="544"/>
      <c r="K97" s="544"/>
    </row>
    <row r="98" spans="1:11" s="144" customFormat="1" ht="16.5" customHeight="1" thickBot="1">
      <c r="A98" s="546" t="s">
        <v>82</v>
      </c>
      <c r="B98" s="546"/>
      <c r="C98" s="48"/>
      <c r="K98" s="48" t="str">
        <f>K7</f>
        <v>Forintban!</v>
      </c>
    </row>
    <row r="99" spans="1:11" ht="15">
      <c r="A99" s="534" t="s">
        <v>46</v>
      </c>
      <c r="B99" s="536" t="s">
        <v>366</v>
      </c>
      <c r="C99" s="538" t="str">
        <f>+CONCATENATE(LEFT(RM_ÖSSZEFÜGGÉSEK!A6,4),". évi")</f>
        <v>2023. évi</v>
      </c>
      <c r="D99" s="539"/>
      <c r="E99" s="540"/>
      <c r="F99" s="540"/>
      <c r="G99" s="540"/>
      <c r="H99" s="540"/>
      <c r="I99" s="540"/>
      <c r="J99" s="540"/>
      <c r="K99" s="541"/>
    </row>
    <row r="100" spans="1:11" ht="35.25" customHeight="1" thickBot="1">
      <c r="A100" s="535"/>
      <c r="B100" s="537"/>
      <c r="C100" s="438" t="s">
        <v>365</v>
      </c>
      <c r="D100" s="439" t="str">
        <f aca="true" t="shared" si="27" ref="D100:I100">D9</f>
        <v>1. sz. módosítás </v>
      </c>
      <c r="E100" s="439" t="str">
        <f t="shared" si="27"/>
        <v>2. sz. módosítás </v>
      </c>
      <c r="F100" s="439" t="str">
        <f t="shared" si="27"/>
        <v>3. sz. módosítás </v>
      </c>
      <c r="G100" s="439" t="str">
        <f t="shared" si="27"/>
        <v>4. sz. módosítás </v>
      </c>
      <c r="H100" s="439" t="str">
        <f t="shared" si="27"/>
        <v>.5. sz. módosítás </v>
      </c>
      <c r="I100" s="439" t="str">
        <f t="shared" si="27"/>
        <v>6. sz. módosítás </v>
      </c>
      <c r="J100" s="440" t="s">
        <v>430</v>
      </c>
      <c r="K100" s="441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683023394</v>
      </c>
      <c r="D102" s="124">
        <f aca="true" t="shared" si="28" ref="D102:K102">D103+D104+D105+D106+D107+D120</f>
        <v>6572413</v>
      </c>
      <c r="E102" s="124">
        <f t="shared" si="28"/>
        <v>2661185</v>
      </c>
      <c r="F102" s="124">
        <f t="shared" si="28"/>
        <v>40037039</v>
      </c>
      <c r="G102" s="124">
        <f t="shared" si="28"/>
        <v>0</v>
      </c>
      <c r="H102" s="124">
        <f t="shared" si="28"/>
        <v>0</v>
      </c>
      <c r="I102" s="124">
        <f t="shared" si="28"/>
        <v>0</v>
      </c>
      <c r="J102" s="124">
        <f t="shared" si="28"/>
        <v>49270637</v>
      </c>
      <c r="K102" s="181">
        <f t="shared" si="28"/>
        <v>732294031</v>
      </c>
    </row>
    <row r="103" spans="1:11" ht="12" customHeight="1">
      <c r="A103" s="14" t="s">
        <v>58</v>
      </c>
      <c r="B103" s="7" t="s">
        <v>32</v>
      </c>
      <c r="C103" s="460">
        <v>240567103</v>
      </c>
      <c r="D103" s="185">
        <v>-2307325</v>
      </c>
      <c r="E103" s="261">
        <v>-27949</v>
      </c>
      <c r="F103" s="185">
        <v>42949</v>
      </c>
      <c r="G103" s="185"/>
      <c r="H103" s="185"/>
      <c r="I103" s="185"/>
      <c r="J103" s="276">
        <f aca="true" t="shared" si="29" ref="J103:J122">D103+E103+F103+G103+H103+I103</f>
        <v>-2292325</v>
      </c>
      <c r="K103" s="227">
        <f aca="true" t="shared" si="30" ref="K103:K122">C103+J103</f>
        <v>238274778</v>
      </c>
    </row>
    <row r="104" spans="1:11" ht="12" customHeight="1">
      <c r="A104" s="11" t="s">
        <v>59</v>
      </c>
      <c r="B104" s="5" t="s">
        <v>101</v>
      </c>
      <c r="C104" s="457">
        <v>35933446</v>
      </c>
      <c r="D104" s="126">
        <v>66080</v>
      </c>
      <c r="E104" s="126"/>
      <c r="F104" s="126">
        <v>-42949</v>
      </c>
      <c r="G104" s="126"/>
      <c r="H104" s="126"/>
      <c r="I104" s="126"/>
      <c r="J104" s="277">
        <f t="shared" si="29"/>
        <v>23131</v>
      </c>
      <c r="K104" s="223">
        <f t="shared" si="30"/>
        <v>35956577</v>
      </c>
    </row>
    <row r="105" spans="1:11" ht="12" customHeight="1">
      <c r="A105" s="11" t="s">
        <v>60</v>
      </c>
      <c r="B105" s="5" t="s">
        <v>77</v>
      </c>
      <c r="C105" s="461">
        <v>277757793</v>
      </c>
      <c r="D105" s="128">
        <v>8113530</v>
      </c>
      <c r="E105" s="128">
        <v>6170097</v>
      </c>
      <c r="F105" s="128">
        <v>-1060399</v>
      </c>
      <c r="G105" s="128"/>
      <c r="H105" s="128"/>
      <c r="I105" s="128"/>
      <c r="J105" s="278">
        <f t="shared" si="29"/>
        <v>13223228</v>
      </c>
      <c r="K105" s="224">
        <f t="shared" si="30"/>
        <v>290981021</v>
      </c>
    </row>
    <row r="106" spans="1:11" ht="12" customHeight="1">
      <c r="A106" s="11" t="s">
        <v>61</v>
      </c>
      <c r="B106" s="8" t="s">
        <v>102</v>
      </c>
      <c r="C106" s="461">
        <v>5840000</v>
      </c>
      <c r="D106" s="128"/>
      <c r="E106" s="128"/>
      <c r="F106" s="128"/>
      <c r="G106" s="128"/>
      <c r="H106" s="128"/>
      <c r="I106" s="128"/>
      <c r="J106" s="278">
        <f t="shared" si="29"/>
        <v>0</v>
      </c>
      <c r="K106" s="224">
        <f t="shared" si="30"/>
        <v>5840000</v>
      </c>
    </row>
    <row r="107" spans="1:11" ht="12" customHeight="1">
      <c r="A107" s="11" t="s">
        <v>69</v>
      </c>
      <c r="B107" s="16" t="s">
        <v>103</v>
      </c>
      <c r="C107" s="461">
        <v>78130600</v>
      </c>
      <c r="D107" s="128">
        <v>15711772</v>
      </c>
      <c r="E107" s="128">
        <v>122538</v>
      </c>
      <c r="F107" s="128">
        <v>2000000</v>
      </c>
      <c r="G107" s="128"/>
      <c r="H107" s="128"/>
      <c r="I107" s="128"/>
      <c r="J107" s="278">
        <f t="shared" si="29"/>
        <v>17834310</v>
      </c>
      <c r="K107" s="224">
        <f t="shared" si="30"/>
        <v>95964910</v>
      </c>
    </row>
    <row r="108" spans="1:11" ht="12" customHeight="1">
      <c r="A108" s="11" t="s">
        <v>62</v>
      </c>
      <c r="B108" s="5" t="s">
        <v>296</v>
      </c>
      <c r="C108" s="461"/>
      <c r="D108" s="128"/>
      <c r="E108" s="128"/>
      <c r="F108" s="128"/>
      <c r="G108" s="128"/>
      <c r="H108" s="128"/>
      <c r="I108" s="128"/>
      <c r="J108" s="278">
        <f t="shared" si="29"/>
        <v>0</v>
      </c>
      <c r="K108" s="224">
        <f t="shared" si="30"/>
        <v>0</v>
      </c>
    </row>
    <row r="109" spans="1:11" ht="12" customHeight="1">
      <c r="A109" s="11" t="s">
        <v>63</v>
      </c>
      <c r="B109" s="51" t="s">
        <v>295</v>
      </c>
      <c r="C109" s="461">
        <v>13722889</v>
      </c>
      <c r="D109" s="128"/>
      <c r="E109" s="128"/>
      <c r="F109" s="128"/>
      <c r="G109" s="128"/>
      <c r="H109" s="128"/>
      <c r="I109" s="128"/>
      <c r="J109" s="278">
        <f t="shared" si="29"/>
        <v>0</v>
      </c>
      <c r="K109" s="224">
        <f t="shared" si="30"/>
        <v>13722889</v>
      </c>
    </row>
    <row r="110" spans="1:11" ht="12" customHeight="1">
      <c r="A110" s="11" t="s">
        <v>70</v>
      </c>
      <c r="B110" s="51" t="s">
        <v>294</v>
      </c>
      <c r="C110" s="461"/>
      <c r="D110" s="128"/>
      <c r="E110" s="128"/>
      <c r="F110" s="128"/>
      <c r="G110" s="128"/>
      <c r="H110" s="128"/>
      <c r="I110" s="128"/>
      <c r="J110" s="278">
        <f t="shared" si="29"/>
        <v>0</v>
      </c>
      <c r="K110" s="224">
        <f t="shared" si="30"/>
        <v>0</v>
      </c>
    </row>
    <row r="111" spans="1:11" ht="12" customHeight="1">
      <c r="A111" s="11" t="s">
        <v>71</v>
      </c>
      <c r="B111" s="49" t="s">
        <v>232</v>
      </c>
      <c r="C111" s="461"/>
      <c r="D111" s="128"/>
      <c r="E111" s="128"/>
      <c r="F111" s="128"/>
      <c r="G111" s="128"/>
      <c r="H111" s="128"/>
      <c r="I111" s="128"/>
      <c r="J111" s="278">
        <f t="shared" si="29"/>
        <v>0</v>
      </c>
      <c r="K111" s="224">
        <f t="shared" si="30"/>
        <v>0</v>
      </c>
    </row>
    <row r="112" spans="1:11" ht="12" customHeight="1">
      <c r="A112" s="11" t="s">
        <v>72</v>
      </c>
      <c r="B112" s="50" t="s">
        <v>233</v>
      </c>
      <c r="C112" s="461"/>
      <c r="D112" s="128"/>
      <c r="E112" s="128"/>
      <c r="F112" s="128"/>
      <c r="G112" s="128"/>
      <c r="H112" s="128"/>
      <c r="I112" s="128"/>
      <c r="J112" s="278">
        <f t="shared" si="29"/>
        <v>0</v>
      </c>
      <c r="K112" s="224">
        <f t="shared" si="30"/>
        <v>0</v>
      </c>
    </row>
    <row r="113" spans="1:11" ht="12" customHeight="1">
      <c r="A113" s="11" t="s">
        <v>73</v>
      </c>
      <c r="B113" s="50" t="s">
        <v>234</v>
      </c>
      <c r="C113" s="461"/>
      <c r="D113" s="128"/>
      <c r="E113" s="128"/>
      <c r="F113" s="128"/>
      <c r="G113" s="128"/>
      <c r="H113" s="128"/>
      <c r="I113" s="128"/>
      <c r="J113" s="278">
        <f t="shared" si="29"/>
        <v>0</v>
      </c>
      <c r="K113" s="224">
        <f t="shared" si="30"/>
        <v>0</v>
      </c>
    </row>
    <row r="114" spans="1:11" ht="12" customHeight="1">
      <c r="A114" s="11" t="s">
        <v>75</v>
      </c>
      <c r="B114" s="49" t="s">
        <v>235</v>
      </c>
      <c r="C114" s="461">
        <v>62389542</v>
      </c>
      <c r="D114" s="128">
        <v>15711772</v>
      </c>
      <c r="E114" s="128">
        <v>-14704162</v>
      </c>
      <c r="F114" s="128">
        <v>2000000</v>
      </c>
      <c r="G114" s="128"/>
      <c r="H114" s="128"/>
      <c r="I114" s="128"/>
      <c r="J114" s="278">
        <f t="shared" si="29"/>
        <v>3007610</v>
      </c>
      <c r="K114" s="224">
        <f t="shared" si="30"/>
        <v>65397152</v>
      </c>
    </row>
    <row r="115" spans="1:11" ht="12" customHeight="1">
      <c r="A115" s="11" t="s">
        <v>104</v>
      </c>
      <c r="B115" s="49" t="s">
        <v>236</v>
      </c>
      <c r="C115" s="461"/>
      <c r="D115" s="128"/>
      <c r="E115" s="128"/>
      <c r="F115" s="128"/>
      <c r="G115" s="128"/>
      <c r="H115" s="128"/>
      <c r="I115" s="128"/>
      <c r="J115" s="278">
        <f t="shared" si="29"/>
        <v>0</v>
      </c>
      <c r="K115" s="224">
        <f t="shared" si="30"/>
        <v>0</v>
      </c>
    </row>
    <row r="116" spans="1:11" ht="12" customHeight="1">
      <c r="A116" s="11" t="s">
        <v>230</v>
      </c>
      <c r="B116" s="50" t="s">
        <v>237</v>
      </c>
      <c r="C116" s="461"/>
      <c r="D116" s="128"/>
      <c r="E116" s="128"/>
      <c r="F116" s="128"/>
      <c r="G116" s="128"/>
      <c r="H116" s="128"/>
      <c r="I116" s="128"/>
      <c r="J116" s="278">
        <f t="shared" si="29"/>
        <v>0</v>
      </c>
      <c r="K116" s="224">
        <f t="shared" si="30"/>
        <v>0</v>
      </c>
    </row>
    <row r="117" spans="1:11" ht="12" customHeight="1">
      <c r="A117" s="10" t="s">
        <v>231</v>
      </c>
      <c r="B117" s="51" t="s">
        <v>238</v>
      </c>
      <c r="C117" s="461"/>
      <c r="D117" s="128"/>
      <c r="E117" s="128"/>
      <c r="F117" s="128"/>
      <c r="G117" s="128"/>
      <c r="H117" s="128"/>
      <c r="I117" s="128"/>
      <c r="J117" s="278">
        <f t="shared" si="29"/>
        <v>0</v>
      </c>
      <c r="K117" s="224">
        <f t="shared" si="30"/>
        <v>0</v>
      </c>
    </row>
    <row r="118" spans="1:11" ht="12" customHeight="1">
      <c r="A118" s="11" t="s">
        <v>292</v>
      </c>
      <c r="B118" s="51" t="s">
        <v>239</v>
      </c>
      <c r="C118" s="461"/>
      <c r="D118" s="128"/>
      <c r="E118" s="128"/>
      <c r="F118" s="128"/>
      <c r="G118" s="128"/>
      <c r="H118" s="128"/>
      <c r="I118" s="128"/>
      <c r="J118" s="278">
        <f t="shared" si="29"/>
        <v>0</v>
      </c>
      <c r="K118" s="224">
        <f t="shared" si="30"/>
        <v>0</v>
      </c>
    </row>
    <row r="119" spans="1:11" ht="12" customHeight="1">
      <c r="A119" s="13" t="s">
        <v>293</v>
      </c>
      <c r="B119" s="51" t="s">
        <v>240</v>
      </c>
      <c r="C119" s="461">
        <v>2018169</v>
      </c>
      <c r="D119" s="128"/>
      <c r="E119" s="126">
        <v>14826700</v>
      </c>
      <c r="F119" s="126"/>
      <c r="G119" s="128"/>
      <c r="H119" s="128"/>
      <c r="I119" s="128"/>
      <c r="J119" s="278">
        <f t="shared" si="29"/>
        <v>14826700</v>
      </c>
      <c r="K119" s="224">
        <f t="shared" si="30"/>
        <v>16844869</v>
      </c>
    </row>
    <row r="120" spans="1:11" ht="12" customHeight="1">
      <c r="A120" s="11" t="s">
        <v>297</v>
      </c>
      <c r="B120" s="8" t="s">
        <v>33</v>
      </c>
      <c r="C120" s="457">
        <v>44794452</v>
      </c>
      <c r="D120" s="126">
        <v>-15011644</v>
      </c>
      <c r="E120" s="126">
        <v>-3603501</v>
      </c>
      <c r="F120" s="126">
        <v>39097438</v>
      </c>
      <c r="G120" s="126"/>
      <c r="H120" s="126"/>
      <c r="I120" s="126"/>
      <c r="J120" s="277">
        <f t="shared" si="29"/>
        <v>20482293</v>
      </c>
      <c r="K120" s="223">
        <f t="shared" si="30"/>
        <v>65276745</v>
      </c>
    </row>
    <row r="121" spans="1:11" ht="12" customHeight="1">
      <c r="A121" s="11" t="s">
        <v>298</v>
      </c>
      <c r="B121" s="5" t="s">
        <v>300</v>
      </c>
      <c r="C121" s="457">
        <v>36937651</v>
      </c>
      <c r="D121" s="126">
        <v>-15011644</v>
      </c>
      <c r="E121" s="128">
        <v>-3603501</v>
      </c>
      <c r="F121" s="128">
        <v>39097438</v>
      </c>
      <c r="G121" s="126"/>
      <c r="H121" s="126"/>
      <c r="I121" s="126"/>
      <c r="J121" s="277">
        <f t="shared" si="29"/>
        <v>20482293</v>
      </c>
      <c r="K121" s="223">
        <f t="shared" si="30"/>
        <v>57419944</v>
      </c>
    </row>
    <row r="122" spans="1:11" ht="12" customHeight="1" thickBot="1">
      <c r="A122" s="15" t="s">
        <v>299</v>
      </c>
      <c r="B122" s="177" t="s">
        <v>301</v>
      </c>
      <c r="C122" s="462">
        <v>7856801</v>
      </c>
      <c r="D122" s="186"/>
      <c r="E122" s="186"/>
      <c r="F122" s="186"/>
      <c r="G122" s="186"/>
      <c r="H122" s="186"/>
      <c r="I122" s="186"/>
      <c r="J122" s="279">
        <f t="shared" si="29"/>
        <v>0</v>
      </c>
      <c r="K122" s="228">
        <f t="shared" si="30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122032133</v>
      </c>
      <c r="D123" s="125">
        <f aca="true" t="shared" si="31" ref="D123:K123">+D124+D126+D128</f>
        <v>113525724</v>
      </c>
      <c r="E123" s="187">
        <f t="shared" si="31"/>
        <v>3160304</v>
      </c>
      <c r="F123" s="187">
        <f t="shared" si="31"/>
        <v>7187999</v>
      </c>
      <c r="G123" s="187">
        <f t="shared" si="31"/>
        <v>0</v>
      </c>
      <c r="H123" s="187">
        <f t="shared" si="31"/>
        <v>0</v>
      </c>
      <c r="I123" s="187">
        <f t="shared" si="31"/>
        <v>0</v>
      </c>
      <c r="J123" s="187">
        <f t="shared" si="31"/>
        <v>123874027</v>
      </c>
      <c r="K123" s="182">
        <f t="shared" si="31"/>
        <v>245906160</v>
      </c>
    </row>
    <row r="124" spans="1:11" ht="12" customHeight="1">
      <c r="A124" s="12" t="s">
        <v>64</v>
      </c>
      <c r="B124" s="5" t="s">
        <v>119</v>
      </c>
      <c r="C124" s="456">
        <v>117796696</v>
      </c>
      <c r="D124" s="193">
        <v>109860970</v>
      </c>
      <c r="E124" s="127">
        <v>3160304</v>
      </c>
      <c r="F124" s="127">
        <v>7088195</v>
      </c>
      <c r="G124" s="193"/>
      <c r="H124" s="193"/>
      <c r="I124" s="127"/>
      <c r="J124" s="166">
        <f aca="true" t="shared" si="32" ref="J124:J136">D124+E124+F124+G124+H124+I124</f>
        <v>120109469</v>
      </c>
      <c r="K124" s="165">
        <f aca="true" t="shared" si="33" ref="K124:K136">C124+J124</f>
        <v>237906165</v>
      </c>
    </row>
    <row r="125" spans="1:11" ht="12" customHeight="1">
      <c r="A125" s="12" t="s">
        <v>65</v>
      </c>
      <c r="B125" s="9" t="s">
        <v>245</v>
      </c>
      <c r="C125" s="456">
        <v>93314896</v>
      </c>
      <c r="D125" s="193">
        <v>102796090</v>
      </c>
      <c r="E125" s="193"/>
      <c r="F125" s="127">
        <v>5689600</v>
      </c>
      <c r="G125" s="193"/>
      <c r="H125" s="193"/>
      <c r="I125" s="127"/>
      <c r="J125" s="166">
        <f t="shared" si="32"/>
        <v>108485690</v>
      </c>
      <c r="K125" s="165">
        <f t="shared" si="33"/>
        <v>201800586</v>
      </c>
    </row>
    <row r="126" spans="1:11" ht="12" customHeight="1">
      <c r="A126" s="12" t="s">
        <v>66</v>
      </c>
      <c r="B126" s="9" t="s">
        <v>105</v>
      </c>
      <c r="C126" s="457"/>
      <c r="D126" s="194">
        <v>3664628</v>
      </c>
      <c r="E126" s="194"/>
      <c r="F126" s="126"/>
      <c r="G126" s="194"/>
      <c r="H126" s="194"/>
      <c r="I126" s="126"/>
      <c r="J126" s="277">
        <f t="shared" si="32"/>
        <v>3664628</v>
      </c>
      <c r="K126" s="223">
        <f t="shared" si="33"/>
        <v>3664628</v>
      </c>
    </row>
    <row r="127" spans="1:11" ht="12" customHeight="1">
      <c r="A127" s="12" t="s">
        <v>67</v>
      </c>
      <c r="B127" s="9" t="s">
        <v>246</v>
      </c>
      <c r="C127" s="463"/>
      <c r="D127" s="194"/>
      <c r="E127" s="194"/>
      <c r="F127" s="126"/>
      <c r="G127" s="194"/>
      <c r="H127" s="194"/>
      <c r="I127" s="126"/>
      <c r="J127" s="277">
        <f t="shared" si="32"/>
        <v>0</v>
      </c>
      <c r="K127" s="223">
        <f t="shared" si="33"/>
        <v>0</v>
      </c>
    </row>
    <row r="128" spans="1:11" ht="12" customHeight="1">
      <c r="A128" s="12" t="s">
        <v>68</v>
      </c>
      <c r="B128" s="70" t="s">
        <v>121</v>
      </c>
      <c r="C128" s="463">
        <v>4235437</v>
      </c>
      <c r="D128" s="194">
        <v>126</v>
      </c>
      <c r="E128" s="194"/>
      <c r="F128" s="126">
        <v>99804</v>
      </c>
      <c r="G128" s="194"/>
      <c r="H128" s="194"/>
      <c r="I128" s="126"/>
      <c r="J128" s="277">
        <f t="shared" si="32"/>
        <v>99930</v>
      </c>
      <c r="K128" s="223">
        <f t="shared" si="33"/>
        <v>4335367</v>
      </c>
    </row>
    <row r="129" spans="1:11" ht="12" customHeight="1">
      <c r="A129" s="12" t="s">
        <v>74</v>
      </c>
      <c r="B129" s="69" t="s">
        <v>286</v>
      </c>
      <c r="C129" s="463"/>
      <c r="D129" s="194"/>
      <c r="E129" s="194"/>
      <c r="F129" s="126"/>
      <c r="G129" s="194"/>
      <c r="H129" s="194"/>
      <c r="I129" s="126"/>
      <c r="J129" s="277">
        <f t="shared" si="32"/>
        <v>0</v>
      </c>
      <c r="K129" s="223">
        <f t="shared" si="33"/>
        <v>0</v>
      </c>
    </row>
    <row r="130" spans="1:11" ht="12" customHeight="1">
      <c r="A130" s="12" t="s">
        <v>76</v>
      </c>
      <c r="B130" s="134" t="s">
        <v>251</v>
      </c>
      <c r="C130" s="463"/>
      <c r="D130" s="194"/>
      <c r="E130" s="194"/>
      <c r="F130" s="126"/>
      <c r="G130" s="194"/>
      <c r="H130" s="194"/>
      <c r="I130" s="126"/>
      <c r="J130" s="277">
        <f t="shared" si="32"/>
        <v>0</v>
      </c>
      <c r="K130" s="223">
        <f t="shared" si="33"/>
        <v>0</v>
      </c>
    </row>
    <row r="131" spans="1:11" ht="15">
      <c r="A131" s="12" t="s">
        <v>106</v>
      </c>
      <c r="B131" s="50" t="s">
        <v>234</v>
      </c>
      <c r="C131" s="463"/>
      <c r="D131" s="194"/>
      <c r="E131" s="194"/>
      <c r="F131" s="126"/>
      <c r="G131" s="194"/>
      <c r="H131" s="194"/>
      <c r="I131" s="126"/>
      <c r="J131" s="277">
        <f t="shared" si="32"/>
        <v>0</v>
      </c>
      <c r="K131" s="223">
        <f t="shared" si="33"/>
        <v>0</v>
      </c>
    </row>
    <row r="132" spans="1:11" ht="12" customHeight="1">
      <c r="A132" s="12" t="s">
        <v>107</v>
      </c>
      <c r="B132" s="50" t="s">
        <v>250</v>
      </c>
      <c r="C132" s="463">
        <v>2235437</v>
      </c>
      <c r="D132" s="194">
        <v>126</v>
      </c>
      <c r="E132" s="194"/>
      <c r="F132" s="126">
        <v>99804</v>
      </c>
      <c r="G132" s="194"/>
      <c r="H132" s="194"/>
      <c r="I132" s="126"/>
      <c r="J132" s="277">
        <f t="shared" si="32"/>
        <v>99930</v>
      </c>
      <c r="K132" s="223">
        <f t="shared" si="33"/>
        <v>2335367</v>
      </c>
    </row>
    <row r="133" spans="1:11" ht="12" customHeight="1">
      <c r="A133" s="12" t="s">
        <v>108</v>
      </c>
      <c r="B133" s="50" t="s">
        <v>249</v>
      </c>
      <c r="C133" s="463"/>
      <c r="D133" s="194"/>
      <c r="E133" s="194"/>
      <c r="F133" s="194"/>
      <c r="G133" s="194"/>
      <c r="H133" s="194"/>
      <c r="I133" s="126"/>
      <c r="J133" s="277">
        <f t="shared" si="32"/>
        <v>0</v>
      </c>
      <c r="K133" s="223">
        <f t="shared" si="33"/>
        <v>0</v>
      </c>
    </row>
    <row r="134" spans="1:11" ht="12" customHeight="1">
      <c r="A134" s="12" t="s">
        <v>242</v>
      </c>
      <c r="B134" s="50" t="s">
        <v>237</v>
      </c>
      <c r="C134" s="463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2"/>
        <v>-1000000</v>
      </c>
      <c r="K134" s="223">
        <f t="shared" si="33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2"/>
        <v>0</v>
      </c>
      <c r="K135" s="223">
        <f t="shared" si="33"/>
        <v>0</v>
      </c>
    </row>
    <row r="136" spans="1:11" ht="15.7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2"/>
        <v>1000000</v>
      </c>
      <c r="K136" s="224">
        <f t="shared" si="33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805055527</v>
      </c>
      <c r="D137" s="192">
        <f aca="true" t="shared" si="34" ref="D137:K137">+D102+D123</f>
        <v>120098137</v>
      </c>
      <c r="E137" s="192">
        <f t="shared" si="34"/>
        <v>5821489</v>
      </c>
      <c r="F137" s="192">
        <f t="shared" si="34"/>
        <v>47225038</v>
      </c>
      <c r="G137" s="192">
        <f t="shared" si="34"/>
        <v>0</v>
      </c>
      <c r="H137" s="192">
        <f t="shared" si="34"/>
        <v>0</v>
      </c>
      <c r="I137" s="125">
        <f t="shared" si="34"/>
        <v>0</v>
      </c>
      <c r="J137" s="125">
        <f t="shared" si="34"/>
        <v>173144664</v>
      </c>
      <c r="K137" s="67">
        <f t="shared" si="34"/>
        <v>978200191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5" ref="D138:K138">+D139+D140+D141</f>
        <v>0</v>
      </c>
      <c r="E138" s="192">
        <f t="shared" si="35"/>
        <v>0</v>
      </c>
      <c r="F138" s="192">
        <f t="shared" si="35"/>
        <v>0</v>
      </c>
      <c r="G138" s="192">
        <f t="shared" si="35"/>
        <v>0</v>
      </c>
      <c r="H138" s="192">
        <f t="shared" si="35"/>
        <v>0</v>
      </c>
      <c r="I138" s="125">
        <f t="shared" si="35"/>
        <v>0</v>
      </c>
      <c r="J138" s="125">
        <f t="shared" si="35"/>
        <v>0</v>
      </c>
      <c r="K138" s="67">
        <f t="shared" si="35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6" ref="D142:K142">SUM(D143:D148)</f>
        <v>0</v>
      </c>
      <c r="E142" s="192">
        <f t="shared" si="36"/>
        <v>0</v>
      </c>
      <c r="F142" s="192">
        <f t="shared" si="36"/>
        <v>0</v>
      </c>
      <c r="G142" s="192">
        <f t="shared" si="36"/>
        <v>0</v>
      </c>
      <c r="H142" s="192">
        <f t="shared" si="36"/>
        <v>0</v>
      </c>
      <c r="I142" s="125">
        <f t="shared" si="36"/>
        <v>0</v>
      </c>
      <c r="J142" s="125">
        <f t="shared" si="36"/>
        <v>0</v>
      </c>
      <c r="K142" s="67">
        <f t="shared" si="36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7" ref="J143:J148">D143+E143+F143+G143+H143+I143</f>
        <v>0</v>
      </c>
      <c r="K143" s="223">
        <f aca="true" t="shared" si="38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7"/>
        <v>0</v>
      </c>
      <c r="K144" s="223">
        <f t="shared" si="38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7"/>
        <v>0</v>
      </c>
      <c r="K145" s="223">
        <f t="shared" si="38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7"/>
        <v>0</v>
      </c>
      <c r="K146" s="223">
        <f t="shared" si="38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7"/>
        <v>0</v>
      </c>
      <c r="K147" s="223">
        <f t="shared" si="38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7"/>
        <v>0</v>
      </c>
      <c r="K148" s="223">
        <f t="shared" si="38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39" ref="D149:K149">+D150+D151+D152+D153</f>
        <v>0</v>
      </c>
      <c r="E149" s="196">
        <f t="shared" si="39"/>
        <v>0</v>
      </c>
      <c r="F149" s="196">
        <f t="shared" si="39"/>
        <v>0</v>
      </c>
      <c r="G149" s="196">
        <f t="shared" si="39"/>
        <v>0</v>
      </c>
      <c r="H149" s="196">
        <f t="shared" si="39"/>
        <v>0</v>
      </c>
      <c r="I149" s="131">
        <f t="shared" si="39"/>
        <v>0</v>
      </c>
      <c r="J149" s="131">
        <f t="shared" si="39"/>
        <v>0</v>
      </c>
      <c r="K149" s="164">
        <f t="shared" si="39"/>
        <v>5477666</v>
      </c>
    </row>
    <row r="150" spans="1:11" ht="12" customHeight="1">
      <c r="A150" s="12" t="s">
        <v>54</v>
      </c>
      <c r="B150" s="6" t="s">
        <v>252</v>
      </c>
      <c r="C150" s="463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0" ref="D154:K154">SUM(D155:D159)</f>
        <v>0</v>
      </c>
      <c r="E154" s="197">
        <f t="shared" si="40"/>
        <v>0</v>
      </c>
      <c r="F154" s="197">
        <f t="shared" si="40"/>
        <v>0</v>
      </c>
      <c r="G154" s="197">
        <f t="shared" si="40"/>
        <v>0</v>
      </c>
      <c r="H154" s="197">
        <f t="shared" si="40"/>
        <v>0</v>
      </c>
      <c r="I154" s="188">
        <f t="shared" si="40"/>
        <v>0</v>
      </c>
      <c r="J154" s="188">
        <f t="shared" si="40"/>
        <v>0</v>
      </c>
      <c r="K154" s="183">
        <f t="shared" si="40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1" ref="J155:J161">D155+E155+F155+G155+H155+I155</f>
        <v>0</v>
      </c>
      <c r="K155" s="223">
        <f aca="true" t="shared" si="42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1"/>
        <v>0</v>
      </c>
      <c r="K156" s="223">
        <f t="shared" si="42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1"/>
        <v>0</v>
      </c>
      <c r="K157" s="223">
        <f t="shared" si="42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1"/>
        <v>0</v>
      </c>
      <c r="K158" s="223">
        <f t="shared" si="42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1"/>
        <v>0</v>
      </c>
      <c r="K159" s="224">
        <f t="shared" si="42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1"/>
        <v>0</v>
      </c>
      <c r="K160" s="249">
        <f t="shared" si="42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1"/>
        <v>0</v>
      </c>
      <c r="K161" s="165">
        <f t="shared" si="42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3" ref="D162:K162">+D138+D142+D149+D154+D160+D161</f>
        <v>0</v>
      </c>
      <c r="E162" s="199">
        <f t="shared" si="43"/>
        <v>0</v>
      </c>
      <c r="F162" s="199">
        <f t="shared" si="43"/>
        <v>0</v>
      </c>
      <c r="G162" s="199">
        <f t="shared" si="43"/>
        <v>0</v>
      </c>
      <c r="H162" s="199">
        <f t="shared" si="43"/>
        <v>0</v>
      </c>
      <c r="I162" s="190">
        <f t="shared" si="43"/>
        <v>0</v>
      </c>
      <c r="J162" s="190">
        <f t="shared" si="43"/>
        <v>0</v>
      </c>
      <c r="K162" s="184">
        <f t="shared" si="43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810533193</v>
      </c>
      <c r="D163" s="199">
        <f aca="true" t="shared" si="44" ref="D163:K163">+D137+D162</f>
        <v>120098137</v>
      </c>
      <c r="E163" s="199">
        <f t="shared" si="44"/>
        <v>5821489</v>
      </c>
      <c r="F163" s="199">
        <f t="shared" si="44"/>
        <v>47225038</v>
      </c>
      <c r="G163" s="199">
        <f t="shared" si="44"/>
        <v>0</v>
      </c>
      <c r="H163" s="199">
        <f t="shared" si="44"/>
        <v>0</v>
      </c>
      <c r="I163" s="190">
        <f t="shared" si="44"/>
        <v>0</v>
      </c>
      <c r="J163" s="190">
        <f t="shared" si="44"/>
        <v>173144664</v>
      </c>
      <c r="K163" s="184">
        <f t="shared" si="44"/>
        <v>983677857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">
      <c r="A165" s="542" t="s">
        <v>254</v>
      </c>
      <c r="B165" s="542"/>
      <c r="C165" s="542"/>
      <c r="D165" s="542"/>
      <c r="E165" s="542"/>
      <c r="F165" s="542"/>
      <c r="G165" s="542"/>
      <c r="H165" s="542"/>
      <c r="I165" s="542"/>
      <c r="J165" s="542"/>
      <c r="K165" s="542"/>
    </row>
    <row r="166" spans="1:11" ht="15" customHeight="1" thickBot="1">
      <c r="A166" s="533" t="s">
        <v>83</v>
      </c>
      <c r="B166" s="533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-242008802</v>
      </c>
      <c r="D167" s="125">
        <f>+D70-D137</f>
        <v>-10572856</v>
      </c>
      <c r="E167" s="125">
        <f>+E70-E137</f>
        <v>0</v>
      </c>
      <c r="F167" s="125">
        <f aca="true" t="shared" si="45" ref="F167:K167">+F70-F137</f>
        <v>-6220032</v>
      </c>
      <c r="G167" s="125">
        <f t="shared" si="45"/>
        <v>0</v>
      </c>
      <c r="H167" s="125">
        <f t="shared" si="45"/>
        <v>0</v>
      </c>
      <c r="I167" s="125">
        <f t="shared" si="45"/>
        <v>0</v>
      </c>
      <c r="J167" s="125">
        <f t="shared" si="45"/>
        <v>-16792888</v>
      </c>
      <c r="K167" s="67">
        <f t="shared" si="45"/>
        <v>-258801690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6" ref="D168:K168">+D94-D162</f>
        <v>10572856</v>
      </c>
      <c r="E168" s="125">
        <f t="shared" si="46"/>
        <v>0</v>
      </c>
      <c r="F168" s="125">
        <f t="shared" si="46"/>
        <v>6220032</v>
      </c>
      <c r="G168" s="125">
        <f t="shared" si="46"/>
        <v>0</v>
      </c>
      <c r="H168" s="125">
        <f t="shared" si="46"/>
        <v>0</v>
      </c>
      <c r="I168" s="125">
        <f t="shared" si="46"/>
        <v>0</v>
      </c>
      <c r="J168" s="125">
        <f t="shared" si="46"/>
        <v>16792888</v>
      </c>
      <c r="K168" s="67">
        <f t="shared" si="46"/>
        <v>258801690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142">
      <selection activeCell="F125" sqref="F125"/>
    </sheetView>
  </sheetViews>
  <sheetFormatPr defaultColWidth="9.375" defaultRowHeight="12.75"/>
  <cols>
    <col min="1" max="1" width="7.50390625" style="114" customWidth="1"/>
    <col min="2" max="2" width="59.625" style="114" customWidth="1"/>
    <col min="3" max="3" width="14.75390625" style="115" customWidth="1"/>
    <col min="4" max="6" width="14.75390625" style="135" customWidth="1"/>
    <col min="7" max="9" width="14.75390625" style="135" hidden="1" customWidth="1"/>
    <col min="10" max="11" width="14.75390625" style="135" customWidth="1"/>
    <col min="12" max="16384" width="9.375" style="135" customWidth="1"/>
  </cols>
  <sheetData>
    <row r="1" spans="1:11" ht="15">
      <c r="A1" s="306"/>
      <c r="B1" s="547" t="str">
        <f>CONCATENATE("2. melléklet ",RM_ALAPADATOK!A7," ",RM_ALAPADATOK!B7," ",RM_ALAPADATOK!C7," ",RM_ALAPADATOK!D7," ",RM_ALAPADATOK!E7," ",RM_ALAPADATOK!F7," ",RM_ALAPADATOK!G7," ",RM_ALAPADATOK!H7)</f>
        <v>2.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ht="1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">
      <c r="A3" s="549">
        <f>CONCATENATE(RM_ALAPADATOK!A4)</f>
      </c>
      <c r="B3" s="549"/>
      <c r="C3" s="550"/>
      <c r="D3" s="549"/>
      <c r="E3" s="549"/>
      <c r="F3" s="549"/>
      <c r="G3" s="549"/>
      <c r="H3" s="549"/>
      <c r="I3" s="549"/>
      <c r="J3" s="549"/>
      <c r="K3" s="549"/>
    </row>
    <row r="4" spans="1:11" ht="15">
      <c r="A4" s="549" t="s">
        <v>555</v>
      </c>
      <c r="B4" s="549"/>
      <c r="C4" s="550"/>
      <c r="D4" s="549"/>
      <c r="E4" s="549"/>
      <c r="F4" s="549"/>
      <c r="G4" s="549"/>
      <c r="H4" s="549"/>
      <c r="I4" s="549"/>
      <c r="J4" s="549"/>
      <c r="K4" s="549"/>
    </row>
    <row r="5" spans="1:11" ht="1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3" t="s">
        <v>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5.75" customHeight="1" thickBot="1">
      <c r="A7" s="545" t="s">
        <v>81</v>
      </c>
      <c r="B7" s="545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">
      <c r="A8" s="534" t="s">
        <v>46</v>
      </c>
      <c r="B8" s="536" t="s">
        <v>2</v>
      </c>
      <c r="C8" s="538" t="str">
        <f>+CONCATENATE(LEFT(RM_ÖSSZEFÜGGÉSEK!A6,4),". évi")</f>
        <v>2023. évi</v>
      </c>
      <c r="D8" s="539"/>
      <c r="E8" s="540"/>
      <c r="F8" s="540"/>
      <c r="G8" s="540"/>
      <c r="H8" s="540"/>
      <c r="I8" s="540"/>
      <c r="J8" s="540"/>
      <c r="K8" s="541"/>
    </row>
    <row r="9" spans="1:11" ht="39" customHeight="1" thickBot="1">
      <c r="A9" s="535"/>
      <c r="B9" s="537"/>
      <c r="C9" s="283" t="s">
        <v>365</v>
      </c>
      <c r="D9" s="303" t="str">
        <f>CONCATENATE('1.sz.mell.'!D9)</f>
        <v>1. sz. módosítás </v>
      </c>
      <c r="E9" s="303" t="str">
        <f>CONCATENATE('1.sz.mell.'!E9)</f>
        <v>2. sz. módosítás </v>
      </c>
      <c r="F9" s="303" t="str">
        <f>CONCATENATE('1.sz.mell.'!F9)</f>
        <v>3. sz. módosítás </v>
      </c>
      <c r="G9" s="303" t="str">
        <f>CONCATENATE('1.sz.mell.'!G9)</f>
        <v>4. sz. módosítás </v>
      </c>
      <c r="H9" s="303" t="str">
        <f>CONCATENATE('1.sz.mell.'!H9)</f>
        <v>.5. sz. módosítás </v>
      </c>
      <c r="I9" s="303" t="str">
        <f>CONCATENATE('1.sz.mell.'!I9)</f>
        <v>6. sz. módosítás </v>
      </c>
      <c r="J9" s="304" t="s">
        <v>430</v>
      </c>
      <c r="K9" s="305" t="str">
        <f>CONCATENATE('1.sz.mell.'!K9)</f>
        <v>III.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1286489</v>
      </c>
      <c r="F11" s="125">
        <f>+F12+F13+F14+F15+F17+F18+F16</f>
        <v>36089384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44488715</v>
      </c>
      <c r="K11" s="67">
        <f>+K12+K13+K14+K15+K16+K17+K18</f>
        <v>182518289</v>
      </c>
    </row>
    <row r="12" spans="1:11" s="137" customFormat="1" ht="12" customHeight="1">
      <c r="A12" s="12" t="s">
        <v>58</v>
      </c>
      <c r="B12" s="138" t="s">
        <v>138</v>
      </c>
      <c r="C12" s="456">
        <v>39387383</v>
      </c>
      <c r="D12" s="127"/>
      <c r="E12" s="127"/>
      <c r="F12" s="193">
        <v>4300000</v>
      </c>
      <c r="G12" s="127"/>
      <c r="H12" s="127"/>
      <c r="I12" s="127"/>
      <c r="J12" s="166">
        <f aca="true" t="shared" si="1" ref="J12:J18">D12+E12+F12+G12+H12+I12</f>
        <v>4300000</v>
      </c>
      <c r="K12" s="165">
        <f aca="true" t="shared" si="2" ref="K12:K18">C12+J12</f>
        <v>43687383</v>
      </c>
    </row>
    <row r="13" spans="1:11" s="137" customFormat="1" ht="12" customHeight="1">
      <c r="A13" s="11" t="s">
        <v>59</v>
      </c>
      <c r="B13" s="139" t="s">
        <v>139</v>
      </c>
      <c r="C13" s="457">
        <v>55200800</v>
      </c>
      <c r="D13" s="126">
        <v>-6256880</v>
      </c>
      <c r="E13" s="127"/>
      <c r="F13" s="194">
        <v>7700532</v>
      </c>
      <c r="G13" s="127"/>
      <c r="H13" s="127"/>
      <c r="I13" s="127"/>
      <c r="J13" s="166">
        <f t="shared" si="1"/>
        <v>1443652</v>
      </c>
      <c r="K13" s="165">
        <f t="shared" si="2"/>
        <v>56644452</v>
      </c>
    </row>
    <row r="14" spans="1:11" s="137" customFormat="1" ht="12" customHeight="1">
      <c r="A14" s="11" t="s">
        <v>60</v>
      </c>
      <c r="B14" s="139" t="s">
        <v>140</v>
      </c>
      <c r="C14" s="457">
        <v>8094700</v>
      </c>
      <c r="D14" s="126">
        <v>-369050</v>
      </c>
      <c r="E14" s="127"/>
      <c r="F14" s="194">
        <v>1451292</v>
      </c>
      <c r="G14" s="127"/>
      <c r="H14" s="127"/>
      <c r="I14" s="127"/>
      <c r="J14" s="166">
        <f t="shared" si="1"/>
        <v>1082242</v>
      </c>
      <c r="K14" s="165">
        <f t="shared" si="2"/>
        <v>9176942</v>
      </c>
    </row>
    <row r="15" spans="1:11" s="137" customFormat="1" ht="12" customHeight="1">
      <c r="A15" s="11" t="s">
        <v>61</v>
      </c>
      <c r="B15" s="139" t="s">
        <v>546</v>
      </c>
      <c r="C15" s="457">
        <v>30999014</v>
      </c>
      <c r="D15" s="126"/>
      <c r="E15" s="127"/>
      <c r="F15" s="194">
        <v>12276634</v>
      </c>
      <c r="G15" s="127"/>
      <c r="H15" s="127"/>
      <c r="I15" s="127"/>
      <c r="J15" s="166">
        <f t="shared" si="1"/>
        <v>12276634</v>
      </c>
      <c r="K15" s="165">
        <f t="shared" si="2"/>
        <v>43275648</v>
      </c>
    </row>
    <row r="16" spans="1:11" s="137" customFormat="1" ht="12" customHeight="1">
      <c r="A16" s="11" t="s">
        <v>78</v>
      </c>
      <c r="B16" s="139" t="s">
        <v>141</v>
      </c>
      <c r="C16" s="457">
        <v>3259749</v>
      </c>
      <c r="D16" s="126"/>
      <c r="E16" s="127"/>
      <c r="F16" s="194">
        <v>1087928</v>
      </c>
      <c r="G16" s="127"/>
      <c r="H16" s="127"/>
      <c r="I16" s="127"/>
      <c r="J16" s="166">
        <f t="shared" si="1"/>
        <v>1087928</v>
      </c>
      <c r="K16" s="165">
        <f t="shared" si="2"/>
        <v>4347677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94">
        <v>1200150</v>
      </c>
      <c r="F17" s="194"/>
      <c r="G17" s="127"/>
      <c r="H17" s="127"/>
      <c r="I17" s="127"/>
      <c r="J17" s="166">
        <f t="shared" si="1"/>
        <v>16026850</v>
      </c>
      <c r="K17" s="165">
        <f t="shared" si="2"/>
        <v>16026850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94">
        <v>86339</v>
      </c>
      <c r="F18" s="194">
        <v>9272998</v>
      </c>
      <c r="G18" s="127"/>
      <c r="H18" s="127"/>
      <c r="I18" s="127"/>
      <c r="J18" s="166">
        <f t="shared" si="1"/>
        <v>9359337</v>
      </c>
      <c r="K18" s="165">
        <f t="shared" si="2"/>
        <v>9359337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4915622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6965622</v>
      </c>
      <c r="K19" s="67">
        <f t="shared" si="3"/>
        <v>26950598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57">
        <v>19984976</v>
      </c>
      <c r="D24" s="126">
        <v>2050000</v>
      </c>
      <c r="E24" s="127"/>
      <c r="F24" s="194">
        <v>4915622</v>
      </c>
      <c r="G24" s="127"/>
      <c r="H24" s="127"/>
      <c r="I24" s="127"/>
      <c r="J24" s="166">
        <f t="shared" si="4"/>
        <v>6965622</v>
      </c>
      <c r="K24" s="165">
        <f t="shared" si="5"/>
        <v>26950598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95274530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194549041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57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58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56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548</v>
      </c>
      <c r="C35" s="457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57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57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57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549</v>
      </c>
      <c r="C39" s="457">
        <v>150000</v>
      </c>
      <c r="D39" s="126"/>
      <c r="E39" s="127"/>
      <c r="F39" s="127"/>
      <c r="G39" s="127"/>
      <c r="H39" s="127"/>
      <c r="I39" s="127"/>
      <c r="J39" s="166"/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550</v>
      </c>
      <c r="C40" s="457">
        <v>650000</v>
      </c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650000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34027578</v>
      </c>
      <c r="D42" s="125">
        <f aca="true" t="shared" si="12" ref="D42:K42">SUM(D43:D53)</f>
        <v>0</v>
      </c>
      <c r="E42" s="125">
        <f t="shared" si="12"/>
        <v>4535000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4535000</v>
      </c>
      <c r="K42" s="67">
        <f t="shared" si="12"/>
        <v>38562578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57">
        <v>9950000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9950000</v>
      </c>
    </row>
    <row r="45" spans="1:11" s="137" customFormat="1" ht="12" customHeight="1">
      <c r="A45" s="11" t="s">
        <v>53</v>
      </c>
      <c r="B45" s="139" t="s">
        <v>160</v>
      </c>
      <c r="C45" s="457">
        <v>2893716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2893716</v>
      </c>
    </row>
    <row r="46" spans="1:11" s="137" customFormat="1" ht="12" customHeight="1">
      <c r="A46" s="11" t="s">
        <v>93</v>
      </c>
      <c r="B46" s="139" t="s">
        <v>161</v>
      </c>
      <c r="C46" s="457"/>
      <c r="D46" s="126"/>
      <c r="E46" s="194">
        <v>3590000</v>
      </c>
      <c r="F46" s="127">
        <v>945000</v>
      </c>
      <c r="G46" s="127"/>
      <c r="H46" s="127"/>
      <c r="I46" s="127"/>
      <c r="J46" s="166">
        <f t="shared" si="13"/>
        <v>4535000</v>
      </c>
      <c r="K46" s="165">
        <f t="shared" si="14"/>
        <v>4535000</v>
      </c>
    </row>
    <row r="47" spans="1:11" s="137" customFormat="1" ht="12" customHeight="1">
      <c r="A47" s="11" t="s">
        <v>94</v>
      </c>
      <c r="B47" s="139" t="s">
        <v>162</v>
      </c>
      <c r="C47" s="457">
        <v>14788800</v>
      </c>
      <c r="D47" s="126"/>
      <c r="E47" s="194"/>
      <c r="F47" s="127"/>
      <c r="G47" s="127"/>
      <c r="H47" s="127"/>
      <c r="I47" s="127"/>
      <c r="J47" s="166">
        <f t="shared" si="13"/>
        <v>0</v>
      </c>
      <c r="K47" s="165">
        <f t="shared" si="14"/>
        <v>14788800</v>
      </c>
    </row>
    <row r="48" spans="1:11" s="137" customFormat="1" ht="12" customHeight="1">
      <c r="A48" s="11" t="s">
        <v>95</v>
      </c>
      <c r="B48" s="139" t="s">
        <v>163</v>
      </c>
      <c r="C48" s="457">
        <v>6385062</v>
      </c>
      <c r="D48" s="126"/>
      <c r="E48" s="194">
        <v>945000</v>
      </c>
      <c r="F48" s="127">
        <v>-945000</v>
      </c>
      <c r="G48" s="127"/>
      <c r="H48" s="127"/>
      <c r="I48" s="127"/>
      <c r="J48" s="166">
        <f t="shared" si="13"/>
        <v>0</v>
      </c>
      <c r="K48" s="165">
        <f t="shared" si="14"/>
        <v>6385062</v>
      </c>
    </row>
    <row r="49" spans="1:11" s="137" customFormat="1" ht="12" customHeight="1">
      <c r="A49" s="11" t="s">
        <v>96</v>
      </c>
      <c r="B49" s="139" t="s">
        <v>164</v>
      </c>
      <c r="C49" s="457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57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541228730</v>
      </c>
      <c r="D70" s="131">
        <f aca="true" t="shared" si="18" ref="D70:K70">+D11+D19+D26+D33+D42+D54+D60+D65</f>
        <v>109525281</v>
      </c>
      <c r="E70" s="131">
        <f t="shared" si="18"/>
        <v>5821489</v>
      </c>
      <c r="F70" s="131">
        <f t="shared" si="18"/>
        <v>41005006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155263848</v>
      </c>
      <c r="K70" s="164">
        <f t="shared" si="18"/>
        <v>697580506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59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6220032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6220032</v>
      </c>
      <c r="K83" s="67">
        <f t="shared" si="22"/>
        <v>6220032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>
        <v>6220032</v>
      </c>
      <c r="G84" s="129"/>
      <c r="H84" s="129"/>
      <c r="I84" s="129"/>
      <c r="J84" s="275">
        <f>D84+E84+F84+G84+H84+I84</f>
        <v>6220032</v>
      </c>
      <c r="K84" s="225">
        <f>C84+J84</f>
        <v>6220032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6220032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16792888</v>
      </c>
      <c r="K94" s="164">
        <f t="shared" si="26"/>
        <v>264279356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788715198</v>
      </c>
      <c r="D95" s="131">
        <f aca="true" t="shared" si="27" ref="D95:K95">+D70+D94</f>
        <v>120098137</v>
      </c>
      <c r="E95" s="131">
        <f t="shared" si="27"/>
        <v>5821489</v>
      </c>
      <c r="F95" s="131">
        <f t="shared" si="27"/>
        <v>47225038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172056736</v>
      </c>
      <c r="K95" s="164">
        <f t="shared" si="27"/>
        <v>961859862</v>
      </c>
    </row>
    <row r="96" spans="1:3" s="137" customFormat="1" ht="30.75" customHeight="1">
      <c r="A96" s="2"/>
      <c r="B96" s="3"/>
      <c r="C96" s="72"/>
    </row>
    <row r="97" spans="1:11" ht="16.5" customHeight="1">
      <c r="A97" s="544" t="s">
        <v>31</v>
      </c>
      <c r="B97" s="544"/>
      <c r="C97" s="544"/>
      <c r="D97" s="544"/>
      <c r="E97" s="544"/>
      <c r="F97" s="544"/>
      <c r="G97" s="544"/>
      <c r="H97" s="544"/>
      <c r="I97" s="544"/>
      <c r="J97" s="544"/>
      <c r="K97" s="544"/>
    </row>
    <row r="98" spans="1:11" s="144" customFormat="1" ht="16.5" customHeight="1" thickBot="1">
      <c r="A98" s="546" t="s">
        <v>82</v>
      </c>
      <c r="B98" s="546"/>
      <c r="C98" s="48"/>
      <c r="K98" s="48" t="str">
        <f>K7</f>
        <v>Forintban!</v>
      </c>
    </row>
    <row r="99" spans="1:11" ht="15">
      <c r="A99" s="534" t="s">
        <v>46</v>
      </c>
      <c r="B99" s="536" t="s">
        <v>366</v>
      </c>
      <c r="C99" s="538" t="str">
        <f>+CONCATENATE(LEFT(RM_ÖSSZEFÜGGÉSEK!A6,4),". évi")</f>
        <v>2023. évi</v>
      </c>
      <c r="D99" s="539"/>
      <c r="E99" s="540"/>
      <c r="F99" s="540"/>
      <c r="G99" s="540"/>
      <c r="H99" s="540"/>
      <c r="I99" s="540"/>
      <c r="J99" s="540"/>
      <c r="K99" s="541"/>
    </row>
    <row r="100" spans="1:11" ht="39" customHeight="1" thickBot="1">
      <c r="A100" s="535"/>
      <c r="B100" s="537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679339225</v>
      </c>
      <c r="D102" s="124">
        <f aca="true" t="shared" si="29" ref="D102:K102">D103+D104+D105+D106+D107+D120</f>
        <v>6572413</v>
      </c>
      <c r="E102" s="124">
        <f t="shared" si="29"/>
        <v>2661185</v>
      </c>
      <c r="F102" s="124">
        <f t="shared" si="29"/>
        <v>40037039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49270637</v>
      </c>
      <c r="K102" s="181">
        <f t="shared" si="29"/>
        <v>728609862</v>
      </c>
    </row>
    <row r="103" spans="1:11" ht="12" customHeight="1">
      <c r="A103" s="14" t="s">
        <v>58</v>
      </c>
      <c r="B103" s="7" t="s">
        <v>32</v>
      </c>
      <c r="C103" s="460">
        <v>240567103</v>
      </c>
      <c r="D103" s="185">
        <v>-2307325</v>
      </c>
      <c r="E103" s="261">
        <v>-27949</v>
      </c>
      <c r="F103" s="185">
        <v>42949</v>
      </c>
      <c r="G103" s="185"/>
      <c r="H103" s="185"/>
      <c r="I103" s="185"/>
      <c r="J103" s="276">
        <f aca="true" t="shared" si="30" ref="J103:J122">D103+E103+F103+G103+H103+I103</f>
        <v>-2292325</v>
      </c>
      <c r="K103" s="227">
        <f aca="true" t="shared" si="31" ref="K103:K122">C103+J103</f>
        <v>238274778</v>
      </c>
    </row>
    <row r="104" spans="1:11" ht="12" customHeight="1">
      <c r="A104" s="11" t="s">
        <v>59</v>
      </c>
      <c r="B104" s="5" t="s">
        <v>101</v>
      </c>
      <c r="C104" s="457">
        <v>35933446</v>
      </c>
      <c r="D104" s="126">
        <v>66080</v>
      </c>
      <c r="E104" s="126"/>
      <c r="F104" s="126">
        <v>-42949</v>
      </c>
      <c r="G104" s="126"/>
      <c r="H104" s="126"/>
      <c r="I104" s="126"/>
      <c r="J104" s="277">
        <f t="shared" si="30"/>
        <v>23131</v>
      </c>
      <c r="K104" s="223">
        <f t="shared" si="31"/>
        <v>35956577</v>
      </c>
    </row>
    <row r="105" spans="1:11" ht="12" customHeight="1">
      <c r="A105" s="11" t="s">
        <v>60</v>
      </c>
      <c r="B105" s="5" t="s">
        <v>77</v>
      </c>
      <c r="C105" s="461">
        <v>275791793</v>
      </c>
      <c r="D105" s="128">
        <v>8113530</v>
      </c>
      <c r="E105" s="128">
        <v>6170097</v>
      </c>
      <c r="F105" s="128">
        <v>-1060399</v>
      </c>
      <c r="G105" s="128"/>
      <c r="H105" s="128"/>
      <c r="I105" s="128"/>
      <c r="J105" s="278">
        <f t="shared" si="30"/>
        <v>13223228</v>
      </c>
      <c r="K105" s="224">
        <f t="shared" si="31"/>
        <v>289015021</v>
      </c>
    </row>
    <row r="106" spans="1:11" ht="12" customHeight="1">
      <c r="A106" s="11" t="s">
        <v>61</v>
      </c>
      <c r="B106" s="8" t="s">
        <v>102</v>
      </c>
      <c r="C106" s="461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1">
        <v>76412431</v>
      </c>
      <c r="D107" s="128">
        <v>15711772</v>
      </c>
      <c r="E107" s="128">
        <v>122538</v>
      </c>
      <c r="F107" s="128">
        <v>2000000</v>
      </c>
      <c r="G107" s="128"/>
      <c r="H107" s="128"/>
      <c r="I107" s="128"/>
      <c r="J107" s="278">
        <f t="shared" si="30"/>
        <v>17834310</v>
      </c>
      <c r="K107" s="224">
        <f t="shared" si="31"/>
        <v>94246741</v>
      </c>
    </row>
    <row r="108" spans="1:11" ht="12" customHeight="1">
      <c r="A108" s="11" t="s">
        <v>62</v>
      </c>
      <c r="B108" s="5" t="s">
        <v>296</v>
      </c>
      <c r="C108" s="461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61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61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61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61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61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61">
        <v>62389542</v>
      </c>
      <c r="D114" s="128">
        <v>15711772</v>
      </c>
      <c r="E114" s="128">
        <v>-14704162</v>
      </c>
      <c r="F114" s="128">
        <v>2000000</v>
      </c>
      <c r="G114" s="128"/>
      <c r="H114" s="128"/>
      <c r="I114" s="128"/>
      <c r="J114" s="278">
        <f t="shared" si="30"/>
        <v>3007610</v>
      </c>
      <c r="K114" s="224">
        <f t="shared" si="31"/>
        <v>65397152</v>
      </c>
    </row>
    <row r="115" spans="1:11" ht="12" customHeight="1">
      <c r="A115" s="11" t="s">
        <v>104</v>
      </c>
      <c r="B115" s="49" t="s">
        <v>236</v>
      </c>
      <c r="C115" s="461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61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61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61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61">
        <v>300000</v>
      </c>
      <c r="D119" s="128"/>
      <c r="E119" s="126">
        <v>14826700</v>
      </c>
      <c r="F119" s="126"/>
      <c r="G119" s="128"/>
      <c r="H119" s="128"/>
      <c r="I119" s="128"/>
      <c r="J119" s="278">
        <f t="shared" si="30"/>
        <v>14826700</v>
      </c>
      <c r="K119" s="224">
        <f t="shared" si="31"/>
        <v>15126700</v>
      </c>
    </row>
    <row r="120" spans="1:11" ht="12" customHeight="1">
      <c r="A120" s="11" t="s">
        <v>297</v>
      </c>
      <c r="B120" s="8" t="s">
        <v>33</v>
      </c>
      <c r="C120" s="457">
        <v>44794452</v>
      </c>
      <c r="D120" s="126">
        <v>-15011644</v>
      </c>
      <c r="E120" s="126">
        <v>-3603501</v>
      </c>
      <c r="F120" s="126">
        <v>39097438</v>
      </c>
      <c r="G120" s="126"/>
      <c r="H120" s="126"/>
      <c r="I120" s="126"/>
      <c r="J120" s="277">
        <f t="shared" si="30"/>
        <v>20482293</v>
      </c>
      <c r="K120" s="223">
        <f t="shared" si="31"/>
        <v>65276745</v>
      </c>
    </row>
    <row r="121" spans="1:11" ht="12" customHeight="1">
      <c r="A121" s="11" t="s">
        <v>298</v>
      </c>
      <c r="B121" s="5" t="s">
        <v>300</v>
      </c>
      <c r="C121" s="457">
        <v>36937651</v>
      </c>
      <c r="D121" s="126">
        <v>-15011644</v>
      </c>
      <c r="E121" s="128">
        <v>-3603501</v>
      </c>
      <c r="F121" s="128">
        <v>39097438</v>
      </c>
      <c r="G121" s="126"/>
      <c r="H121" s="126"/>
      <c r="I121" s="126"/>
      <c r="J121" s="277">
        <f t="shared" si="30"/>
        <v>20482293</v>
      </c>
      <c r="K121" s="223">
        <f t="shared" si="31"/>
        <v>57419944</v>
      </c>
    </row>
    <row r="122" spans="1:11" ht="12" customHeight="1" thickBot="1">
      <c r="A122" s="15" t="s">
        <v>299</v>
      </c>
      <c r="B122" s="177" t="s">
        <v>301</v>
      </c>
      <c r="C122" s="462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120032133</v>
      </c>
      <c r="D123" s="125">
        <f aca="true" t="shared" si="32" ref="D123:K123">+D124+D126+D128</f>
        <v>113525724</v>
      </c>
      <c r="E123" s="187">
        <f t="shared" si="32"/>
        <v>3160304</v>
      </c>
      <c r="F123" s="187">
        <f t="shared" si="32"/>
        <v>7187999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123874027</v>
      </c>
      <c r="K123" s="182">
        <f t="shared" si="32"/>
        <v>243906160</v>
      </c>
    </row>
    <row r="124" spans="1:11" ht="12" customHeight="1">
      <c r="A124" s="12" t="s">
        <v>64</v>
      </c>
      <c r="B124" s="5" t="s">
        <v>119</v>
      </c>
      <c r="C124" s="456">
        <v>117796696</v>
      </c>
      <c r="D124" s="193">
        <v>109860970</v>
      </c>
      <c r="E124" s="127">
        <v>3160304</v>
      </c>
      <c r="F124" s="127">
        <v>7088195</v>
      </c>
      <c r="G124" s="193"/>
      <c r="H124" s="193"/>
      <c r="I124" s="127"/>
      <c r="J124" s="166">
        <f aca="true" t="shared" si="33" ref="J124:J136">D124+E124+F124+G124+H124+I124</f>
        <v>120109469</v>
      </c>
      <c r="K124" s="165">
        <f aca="true" t="shared" si="34" ref="K124:K136">C124+J124</f>
        <v>237906165</v>
      </c>
    </row>
    <row r="125" spans="1:11" ht="12" customHeight="1">
      <c r="A125" s="12" t="s">
        <v>65</v>
      </c>
      <c r="B125" s="9" t="s">
        <v>245</v>
      </c>
      <c r="C125" s="456">
        <v>93314896</v>
      </c>
      <c r="D125" s="193">
        <v>102796090</v>
      </c>
      <c r="E125" s="193"/>
      <c r="F125" s="127">
        <v>5689600</v>
      </c>
      <c r="G125" s="193"/>
      <c r="H125" s="193"/>
      <c r="I125" s="127"/>
      <c r="J125" s="166">
        <f t="shared" si="33"/>
        <v>108485690</v>
      </c>
      <c r="K125" s="165">
        <f t="shared" si="34"/>
        <v>201800586</v>
      </c>
    </row>
    <row r="126" spans="1:11" ht="12" customHeight="1">
      <c r="A126" s="12" t="s">
        <v>66</v>
      </c>
      <c r="B126" s="9" t="s">
        <v>105</v>
      </c>
      <c r="C126" s="457"/>
      <c r="D126" s="194">
        <v>3664628</v>
      </c>
      <c r="E126" s="194"/>
      <c r="F126" s="126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63"/>
      <c r="D127" s="194"/>
      <c r="E127" s="194"/>
      <c r="F127" s="126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3">
        <v>2235437</v>
      </c>
      <c r="D128" s="194">
        <v>126</v>
      </c>
      <c r="E128" s="194"/>
      <c r="F128" s="126">
        <v>99804</v>
      </c>
      <c r="G128" s="194"/>
      <c r="H128" s="194"/>
      <c r="I128" s="126"/>
      <c r="J128" s="277">
        <f t="shared" si="33"/>
        <v>99930</v>
      </c>
      <c r="K128" s="223">
        <f t="shared" si="34"/>
        <v>2335367</v>
      </c>
    </row>
    <row r="129" spans="1:11" ht="12" customHeight="1">
      <c r="A129" s="12" t="s">
        <v>74</v>
      </c>
      <c r="B129" s="69" t="s">
        <v>286</v>
      </c>
      <c r="C129" s="463"/>
      <c r="D129" s="194"/>
      <c r="E129" s="194"/>
      <c r="F129" s="126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3"/>
      <c r="D130" s="194"/>
      <c r="E130" s="194"/>
      <c r="F130" s="126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15">
      <c r="A131" s="12" t="s">
        <v>106</v>
      </c>
      <c r="B131" s="50" t="s">
        <v>234</v>
      </c>
      <c r="C131" s="463"/>
      <c r="D131" s="194"/>
      <c r="E131" s="194"/>
      <c r="F131" s="126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3">
        <v>2235437</v>
      </c>
      <c r="D132" s="194">
        <v>126</v>
      </c>
      <c r="E132" s="194"/>
      <c r="F132" s="126">
        <v>99804</v>
      </c>
      <c r="G132" s="194"/>
      <c r="H132" s="194"/>
      <c r="I132" s="126"/>
      <c r="J132" s="277">
        <f t="shared" si="33"/>
        <v>99930</v>
      </c>
      <c r="K132" s="223">
        <f t="shared" si="34"/>
        <v>2335367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15.7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799371358</v>
      </c>
      <c r="D137" s="192">
        <f aca="true" t="shared" si="35" ref="D137:K137">+D102+D123</f>
        <v>120098137</v>
      </c>
      <c r="E137" s="192">
        <f t="shared" si="35"/>
        <v>5821489</v>
      </c>
      <c r="F137" s="192">
        <f t="shared" si="35"/>
        <v>47225038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173144664</v>
      </c>
      <c r="K137" s="67">
        <f t="shared" si="35"/>
        <v>972516022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63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804849024</v>
      </c>
      <c r="D163" s="199">
        <f aca="true" t="shared" si="45" ref="D163:K163">+D137+D162</f>
        <v>120098137</v>
      </c>
      <c r="E163" s="199">
        <f t="shared" si="45"/>
        <v>5821489</v>
      </c>
      <c r="F163" s="199">
        <f t="shared" si="45"/>
        <v>47225038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173144664</v>
      </c>
      <c r="K163" s="184">
        <f t="shared" si="45"/>
        <v>977993688</v>
      </c>
    </row>
    <row r="164" spans="3:11" ht="13.5" customHeight="1">
      <c r="C164" s="415">
        <f>C95-C163</f>
        <v>-16133826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-16133826</v>
      </c>
    </row>
    <row r="165" spans="1:11" ht="15">
      <c r="A165" s="542" t="s">
        <v>254</v>
      </c>
      <c r="B165" s="542"/>
      <c r="C165" s="542"/>
      <c r="D165" s="542"/>
      <c r="E165" s="542"/>
      <c r="F165" s="542"/>
      <c r="G165" s="542"/>
      <c r="H165" s="542"/>
      <c r="I165" s="542"/>
      <c r="J165" s="542"/>
      <c r="K165" s="542"/>
    </row>
    <row r="166" spans="1:11" ht="15" customHeight="1" thickBot="1">
      <c r="A166" s="533" t="s">
        <v>83</v>
      </c>
      <c r="B166" s="533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-258142628</v>
      </c>
      <c r="D167" s="125">
        <f aca="true" t="shared" si="46" ref="D167:K167">+D70-D137</f>
        <v>-10572856</v>
      </c>
      <c r="E167" s="125">
        <f t="shared" si="46"/>
        <v>0</v>
      </c>
      <c r="F167" s="125">
        <f t="shared" si="46"/>
        <v>-6220032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-17880816</v>
      </c>
      <c r="K167" s="67">
        <f t="shared" si="46"/>
        <v>-274935516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6220032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16792888</v>
      </c>
      <c r="K168" s="67">
        <f t="shared" si="47"/>
        <v>258801690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151">
      <selection activeCell="G2" sqref="G1:I16384"/>
    </sheetView>
  </sheetViews>
  <sheetFormatPr defaultColWidth="9.375" defaultRowHeight="12.75"/>
  <cols>
    <col min="1" max="1" width="7.50390625" style="114" customWidth="1"/>
    <col min="2" max="2" width="59.625" style="114" customWidth="1"/>
    <col min="3" max="3" width="14.75390625" style="115" customWidth="1"/>
    <col min="4" max="6" width="14.75390625" style="135" customWidth="1"/>
    <col min="7" max="9" width="14.75390625" style="135" hidden="1" customWidth="1"/>
    <col min="10" max="11" width="14.75390625" style="135" customWidth="1"/>
    <col min="12" max="16384" width="9.375" style="135" customWidth="1"/>
  </cols>
  <sheetData>
    <row r="1" spans="1:11" ht="15">
      <c r="A1" s="306"/>
      <c r="B1" s="547" t="str">
        <f>CONCATENATE("3. melléklet ",RM_ALAPADATOK!A7," ",RM_ALAPADATOK!B7," ",RM_ALAPADATOK!C7," ",RM_ALAPADATOK!D7," ",RM_ALAPADATOK!E7," ",RM_ALAPADATOK!F7," ",RM_ALAPADATOK!G7," ",RM_ALAPADATOK!H7)</f>
        <v>3.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ht="1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">
      <c r="A3" s="549">
        <f>CONCATENATE(RM_ALAPADATOK!A4)</f>
      </c>
      <c r="B3" s="549"/>
      <c r="C3" s="550"/>
      <c r="D3" s="549"/>
      <c r="E3" s="549"/>
      <c r="F3" s="549"/>
      <c r="G3" s="549"/>
      <c r="H3" s="549"/>
      <c r="I3" s="549"/>
      <c r="J3" s="549"/>
      <c r="K3" s="549"/>
    </row>
    <row r="4" spans="1:11" ht="15">
      <c r="A4" s="549" t="s">
        <v>556</v>
      </c>
      <c r="B4" s="549"/>
      <c r="C4" s="550"/>
      <c r="D4" s="549"/>
      <c r="E4" s="549"/>
      <c r="F4" s="549"/>
      <c r="G4" s="549"/>
      <c r="H4" s="549"/>
      <c r="I4" s="549"/>
      <c r="J4" s="549"/>
      <c r="K4" s="549"/>
    </row>
    <row r="5" spans="1:11" ht="1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3" t="s">
        <v>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5.75" customHeight="1" thickBot="1">
      <c r="A7" s="545" t="s">
        <v>81</v>
      </c>
      <c r="B7" s="545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">
      <c r="A8" s="534" t="s">
        <v>46</v>
      </c>
      <c r="B8" s="536" t="s">
        <v>2</v>
      </c>
      <c r="C8" s="538" t="str">
        <f>+CONCATENATE(LEFT(RM_ÖSSZEFÜGGÉSEK!A6,4),". évi")</f>
        <v>2023. évi</v>
      </c>
      <c r="D8" s="539"/>
      <c r="E8" s="540"/>
      <c r="F8" s="540"/>
      <c r="G8" s="540"/>
      <c r="H8" s="540"/>
      <c r="I8" s="540"/>
      <c r="J8" s="540"/>
      <c r="K8" s="541"/>
    </row>
    <row r="9" spans="1:11" ht="38.25" customHeight="1" thickBot="1">
      <c r="A9" s="535"/>
      <c r="B9" s="537"/>
      <c r="C9" s="283" t="s">
        <v>365</v>
      </c>
      <c r="D9" s="303" t="str">
        <f>CONCATENATE('2.sz.mell'!D9)</f>
        <v>1. sz. módosítás </v>
      </c>
      <c r="E9" s="303" t="str">
        <f>CONCATENATE('2.sz.mell'!E9)</f>
        <v>2. sz. módosítás </v>
      </c>
      <c r="F9" s="303" t="str">
        <f>CONCATENATE('2.sz.mell'!F9)</f>
        <v>3. sz. módosítás </v>
      </c>
      <c r="G9" s="303" t="str">
        <f>CONCATENATE('2.sz.mell'!G9)</f>
        <v>4. sz. módosítás </v>
      </c>
      <c r="H9" s="303" t="str">
        <f>CONCATENATE('2.sz.mell'!H9)</f>
        <v>.5. sz. módosítás </v>
      </c>
      <c r="I9" s="303" t="str">
        <f>CONCATENATE('2.sz.mell'!I9)</f>
        <v>6. sz. módosítás </v>
      </c>
      <c r="J9" s="304" t="s">
        <v>430</v>
      </c>
      <c r="K9" s="305" t="str">
        <f>CONCATENATE('2.sz.mell'!K9)</f>
        <v>III.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546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330400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330400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57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548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549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550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21487595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21487595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57">
        <v>16029027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16029027</v>
      </c>
    </row>
    <row r="45" spans="1:11" s="137" customFormat="1" ht="12" customHeight="1">
      <c r="A45" s="11" t="s">
        <v>53</v>
      </c>
      <c r="B45" s="139" t="s">
        <v>160</v>
      </c>
      <c r="C45" s="457">
        <v>2500000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2500000</v>
      </c>
    </row>
    <row r="46" spans="1:11" s="137" customFormat="1" ht="12" customHeight="1">
      <c r="A46" s="11" t="s">
        <v>93</v>
      </c>
      <c r="B46" s="139" t="s">
        <v>161</v>
      </c>
      <c r="C46" s="457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57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457">
        <v>2958568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2958568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21817995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21817995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322" t="s">
        <v>229</v>
      </c>
      <c r="B94" s="323" t="s">
        <v>332</v>
      </c>
      <c r="C94" s="324">
        <f>+C71+C75+C80+C83+C87+C93+C92</f>
        <v>0</v>
      </c>
      <c r="D94" s="324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8" t="s">
        <v>331</v>
      </c>
      <c r="B95" s="68" t="s">
        <v>333</v>
      </c>
      <c r="C95" s="131">
        <f>+C70+C94</f>
        <v>21817995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21817995</v>
      </c>
    </row>
    <row r="96" spans="1:3" s="137" customFormat="1" ht="30.75" customHeight="1">
      <c r="A96" s="2"/>
      <c r="B96" s="3"/>
      <c r="C96" s="72"/>
    </row>
    <row r="97" spans="1:11" ht="16.5" customHeight="1">
      <c r="A97" s="544" t="s">
        <v>31</v>
      </c>
      <c r="B97" s="544"/>
      <c r="C97" s="544"/>
      <c r="D97" s="544"/>
      <c r="E97" s="544"/>
      <c r="F97" s="544"/>
      <c r="G97" s="544"/>
      <c r="H97" s="544"/>
      <c r="I97" s="544"/>
      <c r="J97" s="544"/>
      <c r="K97" s="544"/>
    </row>
    <row r="98" spans="1:11" s="144" customFormat="1" ht="16.5" customHeight="1" thickBot="1">
      <c r="A98" s="546" t="s">
        <v>82</v>
      </c>
      <c r="B98" s="546"/>
      <c r="C98" s="48"/>
      <c r="K98" s="48" t="str">
        <f>K7</f>
        <v>Forintban!</v>
      </c>
    </row>
    <row r="99" spans="1:11" ht="15">
      <c r="A99" s="534" t="s">
        <v>46</v>
      </c>
      <c r="B99" s="536" t="s">
        <v>366</v>
      </c>
      <c r="C99" s="538" t="str">
        <f>+CONCATENATE(LEFT(RM_ÖSSZEFÜGGÉSEK!A6,4),". évi")</f>
        <v>2023. évi</v>
      </c>
      <c r="D99" s="539"/>
      <c r="E99" s="540"/>
      <c r="F99" s="540"/>
      <c r="G99" s="540"/>
      <c r="H99" s="540"/>
      <c r="I99" s="540"/>
      <c r="J99" s="540"/>
      <c r="K99" s="541"/>
    </row>
    <row r="100" spans="1:11" ht="34.5" thickBot="1">
      <c r="A100" s="535"/>
      <c r="B100" s="537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3684169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3684169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461">
        <v>1966000</v>
      </c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1966000</v>
      </c>
    </row>
    <row r="106" spans="1:11" ht="12" customHeight="1">
      <c r="A106" s="11" t="s">
        <v>61</v>
      </c>
      <c r="B106" s="8" t="s">
        <v>102</v>
      </c>
      <c r="C106" s="461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461">
        <v>1718169</v>
      </c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1718169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2000000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2000000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3">
        <v>2000000</v>
      </c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2000000</v>
      </c>
    </row>
    <row r="129" spans="1:11" ht="12" customHeight="1">
      <c r="A129" s="12" t="s">
        <v>74</v>
      </c>
      <c r="B129" s="69" t="s">
        <v>286</v>
      </c>
      <c r="C129" s="463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3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15">
      <c r="A131" s="12" t="s">
        <v>106</v>
      </c>
      <c r="B131" s="50" t="s">
        <v>234</v>
      </c>
      <c r="C131" s="463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3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463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63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3"/>
        <v>-1000000</v>
      </c>
      <c r="K134" s="223">
        <f t="shared" si="34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15.7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3"/>
        <v>1000000</v>
      </c>
      <c r="K136" s="224">
        <f t="shared" si="34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5684169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5684169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5684169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5684169</v>
      </c>
    </row>
    <row r="164" spans="3:11" ht="13.5" customHeight="1">
      <c r="C164" s="415">
        <f>C95-C163</f>
        <v>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16133826</v>
      </c>
    </row>
    <row r="165" spans="1:11" ht="15">
      <c r="A165" s="542" t="s">
        <v>254</v>
      </c>
      <c r="B165" s="542"/>
      <c r="C165" s="542"/>
      <c r="D165" s="542"/>
      <c r="E165" s="542"/>
      <c r="F165" s="542"/>
      <c r="G165" s="542"/>
      <c r="H165" s="542"/>
      <c r="I165" s="542"/>
      <c r="J165" s="542"/>
      <c r="K165" s="542"/>
    </row>
    <row r="166" spans="1:11" ht="15" customHeight="1" thickBot="1">
      <c r="A166" s="533" t="s">
        <v>83</v>
      </c>
      <c r="B166" s="533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16133826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16133826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B1">
      <selection activeCell="G2" sqref="G1:I16384"/>
    </sheetView>
  </sheetViews>
  <sheetFormatPr defaultColWidth="9.375" defaultRowHeight="12.75"/>
  <cols>
    <col min="1" max="1" width="7.50390625" style="114" customWidth="1"/>
    <col min="2" max="2" width="59.625" style="114" customWidth="1"/>
    <col min="3" max="3" width="14.75390625" style="115" customWidth="1"/>
    <col min="4" max="6" width="14.75390625" style="135" customWidth="1"/>
    <col min="7" max="9" width="14.75390625" style="135" hidden="1" customWidth="1"/>
    <col min="10" max="11" width="14.75390625" style="135" customWidth="1"/>
    <col min="12" max="16384" width="9.375" style="135" customWidth="1"/>
  </cols>
  <sheetData>
    <row r="1" spans="1:11" ht="15">
      <c r="A1" s="306"/>
      <c r="B1" s="547" t="str">
        <f>CONCATENATE("4. melléklet ",RM_ALAPADATOK!A7," ",RM_ALAPADATOK!B7," ",RM_ALAPADATOK!C7," ",RM_ALAPADATOK!D7," ",RM_ALAPADATOK!E7," ",RM_ALAPADATOK!F7," ",RM_ALAPADATOK!G7," ",RM_ALAPADATOK!H7)</f>
        <v>4.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ht="1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">
      <c r="A3" s="549">
        <f>CONCATENATE(RM_ALAPADATOK!A4)</f>
      </c>
      <c r="B3" s="549"/>
      <c r="C3" s="550"/>
      <c r="D3" s="549"/>
      <c r="E3" s="549"/>
      <c r="F3" s="549"/>
      <c r="G3" s="549"/>
      <c r="H3" s="549"/>
      <c r="I3" s="549"/>
      <c r="J3" s="549"/>
      <c r="K3" s="549"/>
    </row>
    <row r="4" spans="1:11" ht="15">
      <c r="A4" s="549" t="s">
        <v>557</v>
      </c>
      <c r="B4" s="549"/>
      <c r="C4" s="550"/>
      <c r="D4" s="549"/>
      <c r="E4" s="549"/>
      <c r="F4" s="549"/>
      <c r="G4" s="549"/>
      <c r="H4" s="549"/>
      <c r="I4" s="549"/>
      <c r="J4" s="549"/>
      <c r="K4" s="549"/>
    </row>
    <row r="5" spans="1:11" ht="1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3" t="s">
        <v>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5.75" customHeight="1" thickBot="1">
      <c r="A7" s="545" t="s">
        <v>81</v>
      </c>
      <c r="B7" s="545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">
      <c r="A8" s="534" t="s">
        <v>46</v>
      </c>
      <c r="B8" s="536" t="s">
        <v>2</v>
      </c>
      <c r="C8" s="538" t="str">
        <f>+CONCATENATE(LEFT(RM_ÖSSZEFÜGGÉSEK!A6,4),". évi")</f>
        <v>2023. évi</v>
      </c>
      <c r="D8" s="539"/>
      <c r="E8" s="540"/>
      <c r="F8" s="540"/>
      <c r="G8" s="540"/>
      <c r="H8" s="540"/>
      <c r="I8" s="540"/>
      <c r="J8" s="540"/>
      <c r="K8" s="541"/>
    </row>
    <row r="9" spans="1:11" ht="36" customHeight="1" thickBot="1">
      <c r="A9" s="535"/>
      <c r="B9" s="537"/>
      <c r="C9" s="283" t="s">
        <v>365</v>
      </c>
      <c r="D9" s="303" t="str">
        <f>CONCATENATE('3.sz.mell.'!D100)</f>
        <v>1. sz. módosítás </v>
      </c>
      <c r="E9" s="303" t="str">
        <f>CONCATENATE('3.sz.mell.'!E100)</f>
        <v>2. sz. módosítás </v>
      </c>
      <c r="F9" s="303" t="str">
        <f>CONCATENATE('3.sz.mell.'!F100)</f>
        <v>3. sz. módosítás </v>
      </c>
      <c r="G9" s="303" t="str">
        <f>CONCATENATE('3.sz.mell.'!G100)</f>
        <v>4. sz. módosítás </v>
      </c>
      <c r="H9" s="303" t="str">
        <f>CONCATENATE('3.sz.mell.'!H100)</f>
        <v>.5. sz. módosítás </v>
      </c>
      <c r="I9" s="303" t="str">
        <f>CONCATENATE('3.sz.mell.'!I100)</f>
        <v>6. sz. módosítás </v>
      </c>
      <c r="J9" s="304" t="s">
        <v>430</v>
      </c>
      <c r="K9" s="305" t="str">
        <f>CONCATENATE('3.sz.mell.'!K100)</f>
        <v>III.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546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548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549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550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0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0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126"/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0</v>
      </c>
    </row>
    <row r="45" spans="1:11" s="137" customFormat="1" ht="12" customHeight="1">
      <c r="A45" s="11" t="s">
        <v>53</v>
      </c>
      <c r="B45" s="139" t="s">
        <v>160</v>
      </c>
      <c r="C45" s="126"/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0</v>
      </c>
    </row>
    <row r="46" spans="1:11" s="137" customFormat="1" ht="12" customHeight="1">
      <c r="A46" s="11" t="s">
        <v>93</v>
      </c>
      <c r="B46" s="139" t="s">
        <v>161</v>
      </c>
      <c r="C46" s="126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126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126"/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0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0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0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0</v>
      </c>
      <c r="D94" s="131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0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0</v>
      </c>
    </row>
    <row r="96" spans="1:3" s="137" customFormat="1" ht="30.75" customHeight="1">
      <c r="A96" s="2"/>
      <c r="B96" s="3"/>
      <c r="C96" s="72"/>
    </row>
    <row r="97" spans="1:11" ht="16.5" customHeight="1">
      <c r="A97" s="544" t="s">
        <v>31</v>
      </c>
      <c r="B97" s="544"/>
      <c r="C97" s="544"/>
      <c r="D97" s="544"/>
      <c r="E97" s="544"/>
      <c r="F97" s="544"/>
      <c r="G97" s="544"/>
      <c r="H97" s="544"/>
      <c r="I97" s="544"/>
      <c r="J97" s="544"/>
      <c r="K97" s="544"/>
    </row>
    <row r="98" spans="1:11" s="144" customFormat="1" ht="16.5" customHeight="1" thickBot="1">
      <c r="A98" s="546" t="s">
        <v>82</v>
      </c>
      <c r="B98" s="546"/>
      <c r="C98" s="48"/>
      <c r="K98" s="48" t="str">
        <f>K7</f>
        <v>Forintban!</v>
      </c>
    </row>
    <row r="99" spans="1:11" ht="15">
      <c r="A99" s="534" t="s">
        <v>46</v>
      </c>
      <c r="B99" s="536" t="s">
        <v>366</v>
      </c>
      <c r="C99" s="538" t="str">
        <f>+CONCATENATE(LEFT(RM_ÖSSZEFÜGGÉSEK!A6,4),". évi")</f>
        <v>2023. évi</v>
      </c>
      <c r="D99" s="539"/>
      <c r="E99" s="540"/>
      <c r="F99" s="540"/>
      <c r="G99" s="540"/>
      <c r="H99" s="540"/>
      <c r="I99" s="540"/>
      <c r="J99" s="540"/>
      <c r="K99" s="541"/>
    </row>
    <row r="100" spans="1:11" ht="34.5" thickBot="1">
      <c r="A100" s="535"/>
      <c r="B100" s="537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0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0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128"/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61</v>
      </c>
      <c r="B106" s="8" t="s">
        <v>102</v>
      </c>
      <c r="C106" s="128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128"/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126"/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0</v>
      </c>
    </row>
    <row r="129" spans="1:11" ht="12" customHeight="1">
      <c r="A129" s="12" t="s">
        <v>74</v>
      </c>
      <c r="B129" s="69" t="s">
        <v>286</v>
      </c>
      <c r="C129" s="126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126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15">
      <c r="A131" s="12" t="s">
        <v>106</v>
      </c>
      <c r="B131" s="50" t="s">
        <v>234</v>
      </c>
      <c r="C131" s="126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126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15.7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0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0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0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0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">
      <c r="A165" s="542" t="s">
        <v>254</v>
      </c>
      <c r="B165" s="542"/>
      <c r="C165" s="542"/>
      <c r="D165" s="542"/>
      <c r="E165" s="542"/>
      <c r="F165" s="542"/>
      <c r="G165" s="542"/>
      <c r="H165" s="542"/>
      <c r="I165" s="542"/>
      <c r="J165" s="542"/>
      <c r="K165" s="542"/>
    </row>
    <row r="166" spans="1:11" ht="15" customHeight="1" thickBot="1">
      <c r="A166" s="533" t="s">
        <v>83</v>
      </c>
      <c r="B166" s="533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0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0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A7">
      <selection activeCell="D29" sqref="D29"/>
    </sheetView>
  </sheetViews>
  <sheetFormatPr defaultColWidth="9.375" defaultRowHeight="12.75"/>
  <cols>
    <col min="1" max="1" width="6.75390625" style="33" customWidth="1"/>
    <col min="2" max="2" width="48.00390625" style="54" customWidth="1"/>
    <col min="3" max="5" width="15.50390625" style="33" customWidth="1"/>
    <col min="6" max="6" width="55.1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2:10" ht="39.75" customHeight="1">
      <c r="B1" s="310" t="s">
        <v>439</v>
      </c>
      <c r="C1" s="80"/>
      <c r="D1" s="80"/>
      <c r="E1" s="80"/>
      <c r="F1" s="80"/>
      <c r="G1" s="80"/>
      <c r="H1" s="80"/>
      <c r="I1" s="80"/>
      <c r="J1" s="553" t="str">
        <f>CONCATENATE("5. melléklet ",RM_ALAPADATOK!A7," ",RM_ALAPADATOK!B7," ",RM_ALAPADATOK!C7," ",RM_ALAPADATOK!D7," ",RM_ALAPADATOK!E7," ",RM_ALAPADATOK!F7," ",RM_ALAPADATOK!G7," ",RM_ALAPADATOK!H7)</f>
        <v>5. melléklet a  / 2023 ( … ) önkormányzati rendelethez</v>
      </c>
    </row>
    <row r="2" spans="7:10" ht="14.25" thickBot="1">
      <c r="G2" s="81"/>
      <c r="H2" s="81"/>
      <c r="I2" s="81" t="str">
        <f>CONCATENATE('1.sz.mell.'!K7)</f>
        <v>Forintban!</v>
      </c>
      <c r="J2" s="553"/>
    </row>
    <row r="3" spans="1:10" ht="18" customHeight="1" thickBot="1">
      <c r="A3" s="551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53"/>
    </row>
    <row r="4" spans="1:10" s="85" customFormat="1" ht="42.75" customHeight="1" thickBot="1">
      <c r="A4" s="552"/>
      <c r="B4" s="55" t="s">
        <v>39</v>
      </c>
      <c r="C4" s="294" t="str">
        <f>+CONCATENATE('1.sz.mell.'!C8," eredeti előirányzat")</f>
        <v>2023. évi eredeti előirányzat</v>
      </c>
      <c r="D4" s="292" t="s">
        <v>601</v>
      </c>
      <c r="E4" s="292" t="str">
        <f>+CONCATENATE(LEFT('1.sz.mell.'!C8,4),". III. Módosítás után")</f>
        <v>2023. III. 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III. Módosítás után</v>
      </c>
      <c r="J4" s="553"/>
    </row>
    <row r="5" spans="1:10" s="89" customFormat="1" ht="12" customHeight="1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53"/>
    </row>
    <row r="6" spans="1:10" ht="12.75" customHeight="1">
      <c r="A6" s="90" t="s">
        <v>3</v>
      </c>
      <c r="B6" s="91" t="s">
        <v>255</v>
      </c>
      <c r="C6" s="74">
        <v>136941646</v>
      </c>
      <c r="D6" s="74">
        <v>45576643</v>
      </c>
      <c r="E6" s="229">
        <f>C6+D6</f>
        <v>182518289</v>
      </c>
      <c r="F6" s="91" t="s">
        <v>40</v>
      </c>
      <c r="G6" s="464">
        <v>240567103</v>
      </c>
      <c r="H6" s="74">
        <v>-2292325</v>
      </c>
      <c r="I6" s="233">
        <f>G6+H6</f>
        <v>238274778</v>
      </c>
      <c r="J6" s="553"/>
    </row>
    <row r="7" spans="1:10" ht="12.75" customHeight="1">
      <c r="A7" s="92" t="s">
        <v>4</v>
      </c>
      <c r="B7" s="93" t="s">
        <v>256</v>
      </c>
      <c r="C7" s="75">
        <v>19984976</v>
      </c>
      <c r="D7" s="75">
        <v>6965622</v>
      </c>
      <c r="E7" s="229">
        <f aca="true" t="shared" si="0" ref="E7:E16">C7+D7</f>
        <v>26950598</v>
      </c>
      <c r="F7" s="93" t="s">
        <v>101</v>
      </c>
      <c r="G7" s="465">
        <v>35933446</v>
      </c>
      <c r="H7" s="75">
        <v>23131</v>
      </c>
      <c r="I7" s="233">
        <f aca="true" t="shared" si="1" ref="I7:I17">G7+H7</f>
        <v>35956577</v>
      </c>
      <c r="J7" s="553"/>
    </row>
    <row r="8" spans="1:10" ht="12.75" customHeight="1">
      <c r="A8" s="92" t="s">
        <v>5</v>
      </c>
      <c r="B8" s="93" t="s">
        <v>276</v>
      </c>
      <c r="C8" s="75"/>
      <c r="D8" s="75"/>
      <c r="E8" s="229">
        <f t="shared" si="0"/>
        <v>0</v>
      </c>
      <c r="F8" s="93" t="s">
        <v>123</v>
      </c>
      <c r="G8" s="465">
        <v>277757793</v>
      </c>
      <c r="H8" s="75">
        <v>13223228</v>
      </c>
      <c r="I8" s="233">
        <f t="shared" si="1"/>
        <v>290981021</v>
      </c>
      <c r="J8" s="553"/>
    </row>
    <row r="9" spans="1:10" ht="12.75" customHeight="1">
      <c r="A9" s="92" t="s">
        <v>6</v>
      </c>
      <c r="B9" s="93" t="s">
        <v>92</v>
      </c>
      <c r="C9" s="75">
        <v>255000000</v>
      </c>
      <c r="D9" s="75"/>
      <c r="E9" s="229">
        <f t="shared" si="0"/>
        <v>255000000</v>
      </c>
      <c r="F9" s="93" t="s">
        <v>102</v>
      </c>
      <c r="G9" s="465">
        <v>5840000</v>
      </c>
      <c r="H9" s="75"/>
      <c r="I9" s="233">
        <f t="shared" si="1"/>
        <v>5840000</v>
      </c>
      <c r="J9" s="553"/>
    </row>
    <row r="10" spans="1:10" ht="12.75" customHeight="1">
      <c r="A10" s="92" t="s">
        <v>7</v>
      </c>
      <c r="B10" s="94" t="s">
        <v>279</v>
      </c>
      <c r="C10" s="75">
        <v>55515173</v>
      </c>
      <c r="D10" s="75">
        <v>4535000</v>
      </c>
      <c r="E10" s="229">
        <f t="shared" si="0"/>
        <v>60050173</v>
      </c>
      <c r="F10" s="93" t="s">
        <v>103</v>
      </c>
      <c r="G10" s="465">
        <v>78130600</v>
      </c>
      <c r="H10" s="75">
        <v>17834310</v>
      </c>
      <c r="I10" s="233">
        <f t="shared" si="1"/>
        <v>95964910</v>
      </c>
      <c r="J10" s="553"/>
    </row>
    <row r="11" spans="1:10" ht="12.75" customHeight="1">
      <c r="A11" s="92" t="s">
        <v>8</v>
      </c>
      <c r="B11" s="93" t="s">
        <v>257</v>
      </c>
      <c r="C11" s="76"/>
      <c r="D11" s="76"/>
      <c r="E11" s="229">
        <f t="shared" si="0"/>
        <v>0</v>
      </c>
      <c r="F11" s="93" t="s">
        <v>33</v>
      </c>
      <c r="G11" s="465">
        <v>36937651</v>
      </c>
      <c r="H11" s="75">
        <v>20482293</v>
      </c>
      <c r="I11" s="233">
        <f t="shared" si="1"/>
        <v>57419944</v>
      </c>
      <c r="J11" s="553"/>
    </row>
    <row r="12" spans="1:10" ht="12.75" customHeight="1">
      <c r="A12" s="92" t="s">
        <v>9</v>
      </c>
      <c r="B12" s="93" t="s">
        <v>335</v>
      </c>
      <c r="C12" s="75"/>
      <c r="D12" s="75"/>
      <c r="E12" s="229">
        <f t="shared" si="0"/>
        <v>0</v>
      </c>
      <c r="F12" s="29"/>
      <c r="G12" s="75"/>
      <c r="H12" s="75"/>
      <c r="I12" s="233">
        <f t="shared" si="1"/>
        <v>0</v>
      </c>
      <c r="J12" s="553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29"/>
      <c r="G13" s="75"/>
      <c r="H13" s="75"/>
      <c r="I13" s="233">
        <f t="shared" si="1"/>
        <v>0</v>
      </c>
      <c r="J13" s="553"/>
    </row>
    <row r="14" spans="1:10" ht="12.75" customHeight="1">
      <c r="A14" s="92" t="s">
        <v>11</v>
      </c>
      <c r="B14" s="147"/>
      <c r="C14" s="76"/>
      <c r="D14" s="76"/>
      <c r="E14" s="229">
        <f t="shared" si="0"/>
        <v>0</v>
      </c>
      <c r="F14" s="29"/>
      <c r="G14" s="75"/>
      <c r="H14" s="75"/>
      <c r="I14" s="233">
        <f t="shared" si="1"/>
        <v>0</v>
      </c>
      <c r="J14" s="553"/>
    </row>
    <row r="15" spans="1:10" ht="12.75" customHeight="1">
      <c r="A15" s="92" t="s">
        <v>12</v>
      </c>
      <c r="B15" s="29"/>
      <c r="C15" s="75"/>
      <c r="D15" s="75"/>
      <c r="E15" s="229">
        <f t="shared" si="0"/>
        <v>0</v>
      </c>
      <c r="F15" s="29"/>
      <c r="G15" s="75"/>
      <c r="H15" s="75"/>
      <c r="I15" s="233">
        <f t="shared" si="1"/>
        <v>0</v>
      </c>
      <c r="J15" s="553"/>
    </row>
    <row r="16" spans="1:10" ht="12.75" customHeight="1">
      <c r="A16" s="92" t="s">
        <v>13</v>
      </c>
      <c r="B16" s="29"/>
      <c r="C16" s="75"/>
      <c r="D16" s="75"/>
      <c r="E16" s="229">
        <f t="shared" si="0"/>
        <v>0</v>
      </c>
      <c r="F16" s="29"/>
      <c r="G16" s="75"/>
      <c r="H16" s="75"/>
      <c r="I16" s="233">
        <f t="shared" si="1"/>
        <v>0</v>
      </c>
      <c r="J16" s="553"/>
    </row>
    <row r="17" spans="1:10" ht="12.75" customHeight="1" thickBot="1">
      <c r="A17" s="92" t="s">
        <v>14</v>
      </c>
      <c r="B17" s="35"/>
      <c r="C17" s="77"/>
      <c r="D17" s="77"/>
      <c r="E17" s="230"/>
      <c r="F17" s="29"/>
      <c r="G17" s="77"/>
      <c r="H17" s="77"/>
      <c r="I17" s="233">
        <f t="shared" si="1"/>
        <v>0</v>
      </c>
      <c r="J17" s="553"/>
    </row>
    <row r="18" spans="1:10" ht="13.5" thickBot="1">
      <c r="A18" s="95" t="s">
        <v>15</v>
      </c>
      <c r="B18" s="47" t="s">
        <v>336</v>
      </c>
      <c r="C18" s="78">
        <f>C6+C7+C9+C10+C11+C13+C14+C15+C16+C17</f>
        <v>467441795</v>
      </c>
      <c r="D18" s="78">
        <f>D6+D7+D9+D10+D11+D13+D14+D15+D16+D17</f>
        <v>57077265</v>
      </c>
      <c r="E18" s="78">
        <f>E6+E7+E9+E10+E11+E13+E14+E15+E16+E17</f>
        <v>524519060</v>
      </c>
      <c r="F18" s="47" t="s">
        <v>262</v>
      </c>
      <c r="G18" s="78">
        <f>SUM(G6:G17)</f>
        <v>675166593</v>
      </c>
      <c r="H18" s="78">
        <f>SUM(H6:H17)</f>
        <v>49270637</v>
      </c>
      <c r="I18" s="111">
        <f>SUM(I6:I17)</f>
        <v>724437230</v>
      </c>
      <c r="J18" s="553"/>
    </row>
    <row r="19" spans="1:10" ht="12.75" customHeight="1">
      <c r="A19" s="96" t="s">
        <v>16</v>
      </c>
      <c r="B19" s="97" t="s">
        <v>259</v>
      </c>
      <c r="C19" s="179">
        <f>+C20+C21+C22+C23</f>
        <v>239629667</v>
      </c>
      <c r="D19" s="179">
        <f>+D20+D21+D22+D23</f>
        <v>10572856</v>
      </c>
      <c r="E19" s="179">
        <f>+E20+E21+E22+E23</f>
        <v>250202523</v>
      </c>
      <c r="F19" s="98" t="s">
        <v>109</v>
      </c>
      <c r="G19" s="79"/>
      <c r="H19" s="79"/>
      <c r="I19" s="234">
        <f>G19+H19</f>
        <v>0</v>
      </c>
      <c r="J19" s="553"/>
    </row>
    <row r="20" spans="1:10" ht="12.75" customHeight="1">
      <c r="A20" s="99" t="s">
        <v>17</v>
      </c>
      <c r="B20" s="98" t="s">
        <v>117</v>
      </c>
      <c r="C20" s="40">
        <v>239629667</v>
      </c>
      <c r="D20" s="40">
        <v>10572856</v>
      </c>
      <c r="E20" s="231">
        <f>C20+D20</f>
        <v>250202523</v>
      </c>
      <c r="F20" s="98" t="s">
        <v>261</v>
      </c>
      <c r="G20" s="40"/>
      <c r="H20" s="40"/>
      <c r="I20" s="235">
        <f aca="true" t="shared" si="2" ref="I20:I28">G20+H20</f>
        <v>0</v>
      </c>
      <c r="J20" s="553"/>
    </row>
    <row r="21" spans="1:10" ht="12.75" customHeight="1">
      <c r="A21" s="99" t="s">
        <v>18</v>
      </c>
      <c r="B21" s="98" t="s">
        <v>118</v>
      </c>
      <c r="C21" s="40"/>
      <c r="D21" s="40"/>
      <c r="E21" s="231">
        <f>C21+D21</f>
        <v>0</v>
      </c>
      <c r="F21" s="98" t="s">
        <v>85</v>
      </c>
      <c r="G21" s="40"/>
      <c r="H21" s="40"/>
      <c r="I21" s="235">
        <f t="shared" si="2"/>
        <v>0</v>
      </c>
      <c r="J21" s="553"/>
    </row>
    <row r="22" spans="1:10" ht="12.75" customHeight="1">
      <c r="A22" s="99" t="s">
        <v>19</v>
      </c>
      <c r="B22" s="98" t="s">
        <v>122</v>
      </c>
      <c r="C22" s="40"/>
      <c r="D22" s="40"/>
      <c r="E22" s="231">
        <f>C22+D22</f>
        <v>0</v>
      </c>
      <c r="F22" s="98" t="s">
        <v>86</v>
      </c>
      <c r="G22" s="40"/>
      <c r="H22" s="40"/>
      <c r="I22" s="235">
        <f t="shared" si="2"/>
        <v>0</v>
      </c>
      <c r="J22" s="553"/>
    </row>
    <row r="23" spans="1:10" ht="12.75" customHeight="1">
      <c r="A23" s="99" t="s">
        <v>20</v>
      </c>
      <c r="B23" s="104" t="s">
        <v>128</v>
      </c>
      <c r="C23" s="40"/>
      <c r="D23" s="40"/>
      <c r="E23" s="231">
        <f>C23+D23</f>
        <v>0</v>
      </c>
      <c r="F23" s="97" t="s">
        <v>124</v>
      </c>
      <c r="G23" s="40"/>
      <c r="H23" s="40"/>
      <c r="I23" s="235">
        <f t="shared" si="2"/>
        <v>0</v>
      </c>
      <c r="J23" s="553"/>
    </row>
    <row r="24" spans="1:10" ht="12.75" customHeight="1">
      <c r="A24" s="99" t="s">
        <v>21</v>
      </c>
      <c r="B24" s="98" t="s">
        <v>260</v>
      </c>
      <c r="C24" s="100">
        <f>+C25+C26</f>
        <v>0</v>
      </c>
      <c r="D24" s="100">
        <f>+D25+D26</f>
        <v>0</v>
      </c>
      <c r="E24" s="100">
        <f>+E25+E26</f>
        <v>0</v>
      </c>
      <c r="F24" s="98" t="s">
        <v>110</v>
      </c>
      <c r="G24" s="40"/>
      <c r="H24" s="40"/>
      <c r="I24" s="235">
        <f t="shared" si="2"/>
        <v>0</v>
      </c>
      <c r="J24" s="553"/>
    </row>
    <row r="25" spans="1:10" ht="12.75" customHeight="1">
      <c r="A25" s="96" t="s">
        <v>22</v>
      </c>
      <c r="B25" s="97" t="s">
        <v>258</v>
      </c>
      <c r="C25" s="79"/>
      <c r="D25" s="79"/>
      <c r="E25" s="232">
        <f>C25+D25</f>
        <v>0</v>
      </c>
      <c r="F25" s="91" t="s">
        <v>318</v>
      </c>
      <c r="G25" s="79"/>
      <c r="H25" s="79"/>
      <c r="I25" s="234">
        <f t="shared" si="2"/>
        <v>0</v>
      </c>
      <c r="J25" s="553"/>
    </row>
    <row r="26" spans="1:10" ht="12.75" customHeight="1">
      <c r="A26" s="99" t="s">
        <v>23</v>
      </c>
      <c r="B26" s="104" t="s">
        <v>506</v>
      </c>
      <c r="C26" s="40"/>
      <c r="D26" s="40"/>
      <c r="E26" s="231">
        <f>C26+D26</f>
        <v>0</v>
      </c>
      <c r="F26" s="93" t="s">
        <v>324</v>
      </c>
      <c r="G26" s="40"/>
      <c r="H26" s="40"/>
      <c r="I26" s="235">
        <f t="shared" si="2"/>
        <v>0</v>
      </c>
      <c r="J26" s="553"/>
    </row>
    <row r="27" spans="1:10" ht="12.75" customHeight="1">
      <c r="A27" s="92" t="s">
        <v>24</v>
      </c>
      <c r="B27" s="98" t="s">
        <v>419</v>
      </c>
      <c r="C27" s="40"/>
      <c r="D27" s="40"/>
      <c r="E27" s="231">
        <f>C27+D27</f>
        <v>0</v>
      </c>
      <c r="F27" s="93" t="s">
        <v>325</v>
      </c>
      <c r="G27" s="40"/>
      <c r="H27" s="40"/>
      <c r="I27" s="235">
        <f t="shared" si="2"/>
        <v>0</v>
      </c>
      <c r="J27" s="553"/>
    </row>
    <row r="28" spans="1:10" ht="12.75" customHeight="1" thickBot="1">
      <c r="A28" s="121" t="s">
        <v>25</v>
      </c>
      <c r="B28" s="97" t="s">
        <v>646</v>
      </c>
      <c r="C28" s="79"/>
      <c r="D28" s="79">
        <v>6220032</v>
      </c>
      <c r="E28" s="232">
        <f>C28+D28</f>
        <v>6220032</v>
      </c>
      <c r="F28" s="149" t="s">
        <v>253</v>
      </c>
      <c r="G28" s="466">
        <v>5477666</v>
      </c>
      <c r="H28" s="79"/>
      <c r="I28" s="234">
        <f t="shared" si="2"/>
        <v>5477666</v>
      </c>
      <c r="J28" s="553"/>
    </row>
    <row r="29" spans="1:10" ht="24" customHeight="1" thickBot="1">
      <c r="A29" s="95" t="s">
        <v>26</v>
      </c>
      <c r="B29" s="47" t="s">
        <v>337</v>
      </c>
      <c r="C29" s="78">
        <f>+C19+C24+C27+C28</f>
        <v>239629667</v>
      </c>
      <c r="D29" s="78">
        <f>+D19+D24+D27+D28</f>
        <v>16792888</v>
      </c>
      <c r="E29" s="202">
        <f>+E19+E24+E27+E28</f>
        <v>256422555</v>
      </c>
      <c r="F29" s="47" t="s">
        <v>339</v>
      </c>
      <c r="G29" s="78">
        <f>SUM(G19:G28)</f>
        <v>5477666</v>
      </c>
      <c r="H29" s="78">
        <f>SUM(H19:H28)</f>
        <v>0</v>
      </c>
      <c r="I29" s="111">
        <f>SUM(I19:I28)</f>
        <v>5477666</v>
      </c>
      <c r="J29" s="553"/>
    </row>
    <row r="30" spans="1:10" ht="13.5" thickBot="1">
      <c r="A30" s="95" t="s">
        <v>27</v>
      </c>
      <c r="B30" s="101" t="s">
        <v>338</v>
      </c>
      <c r="C30" s="241">
        <f>+C18+C29</f>
        <v>707071462</v>
      </c>
      <c r="D30" s="241">
        <f>+D18+D29</f>
        <v>73870153</v>
      </c>
      <c r="E30" s="242">
        <f>+E18+E29</f>
        <v>780941615</v>
      </c>
      <c r="F30" s="101" t="s">
        <v>340</v>
      </c>
      <c r="G30" s="241">
        <f>+G18+G29</f>
        <v>680644259</v>
      </c>
      <c r="H30" s="241">
        <f>+H18+H29</f>
        <v>49270637</v>
      </c>
      <c r="I30" s="242">
        <f>+I18+I29</f>
        <v>729914896</v>
      </c>
      <c r="J30" s="553"/>
    </row>
    <row r="31" spans="1:10" ht="13.5" thickBot="1">
      <c r="A31" s="95" t="s">
        <v>28</v>
      </c>
      <c r="B31" s="101" t="s">
        <v>87</v>
      </c>
      <c r="C31" s="241">
        <f>IF(C18-G18&lt;0,G18-C18,"-")</f>
        <v>207724798</v>
      </c>
      <c r="D31" s="241" t="str">
        <f>IF(D18-H18&lt;0,H18-D18,"-")</f>
        <v>-</v>
      </c>
      <c r="E31" s="242">
        <f>IF(E18-I18&lt;0,I18-E18,"-")</f>
        <v>199918170</v>
      </c>
      <c r="F31" s="101" t="s">
        <v>88</v>
      </c>
      <c r="G31" s="241" t="str">
        <f>IF(C18-G18&gt;0,C18-G18,"-")</f>
        <v>-</v>
      </c>
      <c r="H31" s="241">
        <f>IF(D18-H18&gt;0,D18-H18,"-")</f>
        <v>7806628</v>
      </c>
      <c r="I31" s="242" t="str">
        <f>IF(E18-I18&gt;0,E18-I18,"-")</f>
        <v>-</v>
      </c>
      <c r="J31" s="553"/>
    </row>
    <row r="32" spans="1:10" ht="13.5" thickBot="1">
      <c r="A32" s="95" t="s">
        <v>29</v>
      </c>
      <c r="B32" s="101" t="s">
        <v>425</v>
      </c>
      <c r="C32" s="241" t="str">
        <f>IF(C30-G30&lt;0,G30-C30,"-")</f>
        <v>-</v>
      </c>
      <c r="D32" s="241" t="str">
        <f>IF(D30-H30&lt;0,H30-D30,"-")</f>
        <v>-</v>
      </c>
      <c r="E32" s="241" t="str">
        <f>IF(E30-I30&lt;0,I30-E30,"-")</f>
        <v>-</v>
      </c>
      <c r="F32" s="101" t="s">
        <v>426</v>
      </c>
      <c r="G32" s="241">
        <f>IF(C30-G30&gt;0,C30-G30,"-")</f>
        <v>26427203</v>
      </c>
      <c r="H32" s="241">
        <f>IF(D30-H30&gt;0,D30-H30,"-")</f>
        <v>24599516</v>
      </c>
      <c r="I32" s="243">
        <f>IF(E30-I30&gt;0,E30-I30,"-")</f>
        <v>51026719</v>
      </c>
      <c r="J32" s="553"/>
    </row>
    <row r="33" spans="2:6" ht="17.25">
      <c r="B33" s="554"/>
      <c r="C33" s="554"/>
      <c r="D33" s="554"/>
      <c r="E33" s="554"/>
      <c r="F33" s="55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B4">
      <selection activeCell="G21" sqref="G21"/>
    </sheetView>
  </sheetViews>
  <sheetFormatPr defaultColWidth="9.375" defaultRowHeight="12.75"/>
  <cols>
    <col min="1" max="1" width="6.75390625" style="33" customWidth="1"/>
    <col min="2" max="2" width="49.75390625" style="54" customWidth="1"/>
    <col min="3" max="5" width="15.50390625" style="33" customWidth="1"/>
    <col min="6" max="6" width="49.753906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2:10" ht="30.75">
      <c r="B1" s="310" t="s">
        <v>438</v>
      </c>
      <c r="C1" s="80"/>
      <c r="D1" s="80"/>
      <c r="E1" s="80"/>
      <c r="F1" s="80"/>
      <c r="G1" s="80"/>
      <c r="H1" s="80"/>
      <c r="I1" s="80"/>
      <c r="J1" s="553" t="str">
        <f>CONCATENATE("6. melléklet ",RM_ALAPADATOK!A7," ",RM_ALAPADATOK!B7," ",RM_ALAPADATOK!C7," ",RM_ALAPADATOK!D7," ",RM_ALAPADATOK!E7," ",RM_ALAPADATOK!F7," ",RM_ALAPADATOK!G7," ",RM_ALAPADATOK!H7)</f>
        <v>6. melléklet a  / 2023 ( … ) önkormányzati rendelethez</v>
      </c>
    </row>
    <row r="2" spans="7:10" ht="14.25" thickBot="1">
      <c r="G2" s="81"/>
      <c r="H2" s="81"/>
      <c r="I2" s="81" t="str">
        <f>'5.sz.mell.'!I2</f>
        <v>Forintban!</v>
      </c>
      <c r="J2" s="553"/>
    </row>
    <row r="3" spans="1:10" ht="13.5" customHeight="1" thickBot="1">
      <c r="A3" s="551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53"/>
    </row>
    <row r="4" spans="1:10" s="85" customFormat="1" ht="23.25" thickBot="1">
      <c r="A4" s="552"/>
      <c r="B4" s="55" t="s">
        <v>39</v>
      </c>
      <c r="C4" s="291" t="str">
        <f>+CONCATENATE('1.sz.mell.'!C8," eredeti előirányzat")</f>
        <v>2023. évi eredeti előirányzat</v>
      </c>
      <c r="D4" s="430" t="str">
        <f>CONCATENATE('5.sz.mell.'!D4)</f>
        <v>Halmozott módosítás </v>
      </c>
      <c r="E4" s="430" t="str">
        <f>+CONCATENATE(LEFT('1.sz.mell.'!C8,4),". III.Módosítás után")</f>
        <v>2023. III.Módosítás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III.Módosítás után</v>
      </c>
      <c r="J4" s="553"/>
    </row>
    <row r="5" spans="1:10" s="85" customFormat="1" ht="13.5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53"/>
    </row>
    <row r="6" spans="1:10" ht="12.75" customHeight="1">
      <c r="A6" s="90" t="s">
        <v>3</v>
      </c>
      <c r="B6" s="91" t="s">
        <v>263</v>
      </c>
      <c r="C6" s="74">
        <v>95604930</v>
      </c>
      <c r="D6" s="74">
        <v>99274511</v>
      </c>
      <c r="E6" s="229">
        <f>C6+D6</f>
        <v>194879441</v>
      </c>
      <c r="F6" s="91" t="s">
        <v>119</v>
      </c>
      <c r="G6" s="464">
        <v>117796696</v>
      </c>
      <c r="H6" s="207">
        <v>120109469</v>
      </c>
      <c r="I6" s="236">
        <f>G6+H6</f>
        <v>237906165</v>
      </c>
      <c r="J6" s="553"/>
    </row>
    <row r="7" spans="1:10" ht="12.75">
      <c r="A7" s="92" t="s">
        <v>4</v>
      </c>
      <c r="B7" s="93" t="s">
        <v>264</v>
      </c>
      <c r="C7" s="75">
        <v>95274530</v>
      </c>
      <c r="D7" s="75">
        <v>95274511</v>
      </c>
      <c r="E7" s="229">
        <f aca="true" t="shared" si="0" ref="E7:E16">C7+D7</f>
        <v>190549041</v>
      </c>
      <c r="F7" s="93" t="s">
        <v>269</v>
      </c>
      <c r="G7" s="465">
        <v>93314896</v>
      </c>
      <c r="H7" s="75">
        <v>108485690</v>
      </c>
      <c r="I7" s="237">
        <f aca="true" t="shared" si="1" ref="I7:I29">G7+H7</f>
        <v>201800586</v>
      </c>
      <c r="J7" s="553"/>
    </row>
    <row r="8" spans="1:10" ht="12.75" customHeight="1">
      <c r="A8" s="92" t="s">
        <v>5</v>
      </c>
      <c r="B8" s="93" t="s">
        <v>0</v>
      </c>
      <c r="C8" s="75"/>
      <c r="D8" s="75"/>
      <c r="E8" s="229">
        <f t="shared" si="0"/>
        <v>0</v>
      </c>
      <c r="F8" s="93" t="s">
        <v>105</v>
      </c>
      <c r="G8" s="465"/>
      <c r="H8" s="75">
        <v>3664628</v>
      </c>
      <c r="I8" s="237">
        <f t="shared" si="1"/>
        <v>3664628</v>
      </c>
      <c r="J8" s="553"/>
    </row>
    <row r="9" spans="1:10" ht="12.75" customHeight="1">
      <c r="A9" s="92" t="s">
        <v>6</v>
      </c>
      <c r="B9" s="93" t="s">
        <v>265</v>
      </c>
      <c r="C9" s="75"/>
      <c r="D9" s="75"/>
      <c r="E9" s="229">
        <f t="shared" si="0"/>
        <v>0</v>
      </c>
      <c r="F9" s="93" t="s">
        <v>270</v>
      </c>
      <c r="G9" s="465"/>
      <c r="H9" s="75"/>
      <c r="I9" s="237">
        <f t="shared" si="1"/>
        <v>0</v>
      </c>
      <c r="J9" s="553"/>
    </row>
    <row r="10" spans="1:10" ht="12.75" customHeight="1">
      <c r="A10" s="92" t="s">
        <v>7</v>
      </c>
      <c r="B10" s="93" t="s">
        <v>266</v>
      </c>
      <c r="C10" s="75"/>
      <c r="D10" s="75"/>
      <c r="E10" s="229">
        <f t="shared" si="0"/>
        <v>0</v>
      </c>
      <c r="F10" s="93" t="s">
        <v>121</v>
      </c>
      <c r="G10" s="465">
        <v>4235437</v>
      </c>
      <c r="H10" s="75">
        <v>99930</v>
      </c>
      <c r="I10" s="237">
        <f t="shared" si="1"/>
        <v>4335367</v>
      </c>
      <c r="J10" s="553"/>
    </row>
    <row r="11" spans="1:10" ht="12.75" customHeight="1">
      <c r="A11" s="92" t="s">
        <v>8</v>
      </c>
      <c r="B11" s="93" t="s">
        <v>267</v>
      </c>
      <c r="C11" s="76"/>
      <c r="D11" s="76"/>
      <c r="E11" s="229">
        <f t="shared" si="0"/>
        <v>0</v>
      </c>
      <c r="F11" s="122" t="s">
        <v>33</v>
      </c>
      <c r="G11" s="465">
        <v>7856801</v>
      </c>
      <c r="H11" s="75"/>
      <c r="I11" s="237">
        <f t="shared" si="1"/>
        <v>7856801</v>
      </c>
      <c r="J11" s="553"/>
    </row>
    <row r="12" spans="1:10" ht="12.75" customHeight="1">
      <c r="A12" s="92" t="s">
        <v>9</v>
      </c>
      <c r="B12" s="29"/>
      <c r="C12" s="75"/>
      <c r="D12" s="75"/>
      <c r="E12" s="229">
        <f t="shared" si="0"/>
        <v>0</v>
      </c>
      <c r="F12" s="150"/>
      <c r="G12" s="75"/>
      <c r="H12" s="75"/>
      <c r="I12" s="237">
        <f t="shared" si="1"/>
        <v>0</v>
      </c>
      <c r="J12" s="553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151"/>
      <c r="G13" s="75"/>
      <c r="H13" s="75"/>
      <c r="I13" s="237">
        <f t="shared" si="1"/>
        <v>0</v>
      </c>
      <c r="J13" s="553"/>
    </row>
    <row r="14" spans="1:10" ht="12.75" customHeight="1">
      <c r="A14" s="92" t="s">
        <v>11</v>
      </c>
      <c r="B14" s="148"/>
      <c r="C14" s="76"/>
      <c r="D14" s="76"/>
      <c r="E14" s="229">
        <f t="shared" si="0"/>
        <v>0</v>
      </c>
      <c r="F14" s="150"/>
      <c r="G14" s="75"/>
      <c r="H14" s="75"/>
      <c r="I14" s="237">
        <f t="shared" si="1"/>
        <v>0</v>
      </c>
      <c r="J14" s="553"/>
    </row>
    <row r="15" spans="1:10" ht="12.75">
      <c r="A15" s="92" t="s">
        <v>12</v>
      </c>
      <c r="B15" s="29"/>
      <c r="C15" s="76"/>
      <c r="D15" s="76"/>
      <c r="E15" s="229">
        <f t="shared" si="0"/>
        <v>0</v>
      </c>
      <c r="F15" s="150"/>
      <c r="G15" s="75"/>
      <c r="H15" s="75"/>
      <c r="I15" s="237">
        <f t="shared" si="1"/>
        <v>0</v>
      </c>
      <c r="J15" s="553"/>
    </row>
    <row r="16" spans="1:10" ht="12.75" customHeight="1" thickBot="1">
      <c r="A16" s="121" t="s">
        <v>13</v>
      </c>
      <c r="B16" s="149"/>
      <c r="C16" s="123"/>
      <c r="D16" s="123"/>
      <c r="E16" s="229">
        <f t="shared" si="0"/>
        <v>0</v>
      </c>
      <c r="G16" s="205"/>
      <c r="H16" s="205"/>
      <c r="I16" s="238">
        <f t="shared" si="1"/>
        <v>0</v>
      </c>
      <c r="J16" s="553"/>
    </row>
    <row r="17" spans="1:10" ht="15.75" customHeight="1" thickBot="1">
      <c r="A17" s="95" t="s">
        <v>14</v>
      </c>
      <c r="B17" s="47" t="s">
        <v>277</v>
      </c>
      <c r="C17" s="78">
        <f>+C6+C8+C9+C11+C12+C13+C14+C15+C16</f>
        <v>95604930</v>
      </c>
      <c r="D17" s="78">
        <f>+D6+D8+D9+D11+D12+D13+D14+D15+D16</f>
        <v>99274511</v>
      </c>
      <c r="E17" s="78">
        <f>+E6+E8+E9+E11+E12+E13+E14+E15+E16</f>
        <v>194879441</v>
      </c>
      <c r="F17" s="47" t="s">
        <v>278</v>
      </c>
      <c r="G17" s="78">
        <f>+G6+G8+G10+G11+G12+G13+G14+G15+G16</f>
        <v>129888934</v>
      </c>
      <c r="H17" s="78">
        <f>+H6+H8+H10+H11+H12+H13+H14+H15+H16</f>
        <v>123874027</v>
      </c>
      <c r="I17" s="111">
        <f>+I6+I8+I10+I11+I12+I13+I14+I15+I16</f>
        <v>253762961</v>
      </c>
      <c r="J17" s="553"/>
    </row>
    <row r="18" spans="1:10" ht="12.75" customHeight="1">
      <c r="A18" s="90" t="s">
        <v>15</v>
      </c>
      <c r="B18" s="103" t="s">
        <v>136</v>
      </c>
      <c r="C18" s="110">
        <f>+C19+C20+C21+C22+C23</f>
        <v>7856801</v>
      </c>
      <c r="D18" s="110">
        <f>+D19+D20+D21+D22+D23</f>
        <v>0</v>
      </c>
      <c r="E18" s="110">
        <f>+E19+E20+E21+E22+E23</f>
        <v>7856801</v>
      </c>
      <c r="F18" s="98" t="s">
        <v>109</v>
      </c>
      <c r="G18" s="206"/>
      <c r="H18" s="206"/>
      <c r="I18" s="239">
        <f t="shared" si="1"/>
        <v>0</v>
      </c>
      <c r="J18" s="553"/>
    </row>
    <row r="19" spans="1:10" ht="12.75" customHeight="1">
      <c r="A19" s="92" t="s">
        <v>16</v>
      </c>
      <c r="B19" s="104" t="s">
        <v>125</v>
      </c>
      <c r="C19" s="40">
        <v>7856801</v>
      </c>
      <c r="D19" s="40"/>
      <c r="E19" s="231">
        <f aca="true" t="shared" si="2" ref="E19:E29">C19+D19</f>
        <v>7856801</v>
      </c>
      <c r="F19" s="98" t="s">
        <v>112</v>
      </c>
      <c r="G19" s="40"/>
      <c r="H19" s="40"/>
      <c r="I19" s="235">
        <f t="shared" si="1"/>
        <v>0</v>
      </c>
      <c r="J19" s="553"/>
    </row>
    <row r="20" spans="1:10" ht="12.75" customHeight="1">
      <c r="A20" s="90" t="s">
        <v>17</v>
      </c>
      <c r="B20" s="104" t="s">
        <v>126</v>
      </c>
      <c r="C20" s="40"/>
      <c r="D20" s="40"/>
      <c r="E20" s="231">
        <f t="shared" si="2"/>
        <v>0</v>
      </c>
      <c r="F20" s="98" t="s">
        <v>85</v>
      </c>
      <c r="G20" s="40"/>
      <c r="H20" s="40"/>
      <c r="I20" s="235">
        <f t="shared" si="1"/>
        <v>0</v>
      </c>
      <c r="J20" s="553"/>
    </row>
    <row r="21" spans="1:10" ht="12.75" customHeight="1">
      <c r="A21" s="92" t="s">
        <v>18</v>
      </c>
      <c r="B21" s="104" t="s">
        <v>127</v>
      </c>
      <c r="C21" s="40"/>
      <c r="D21" s="40"/>
      <c r="E21" s="231">
        <f t="shared" si="2"/>
        <v>0</v>
      </c>
      <c r="F21" s="98" t="s">
        <v>86</v>
      </c>
      <c r="G21" s="40"/>
      <c r="H21" s="40"/>
      <c r="I21" s="235">
        <f t="shared" si="1"/>
        <v>0</v>
      </c>
      <c r="J21" s="553"/>
    </row>
    <row r="22" spans="1:10" ht="12.75" customHeight="1">
      <c r="A22" s="90" t="s">
        <v>19</v>
      </c>
      <c r="B22" s="104" t="s">
        <v>128</v>
      </c>
      <c r="C22" s="40"/>
      <c r="D22" s="40"/>
      <c r="E22" s="231">
        <f t="shared" si="2"/>
        <v>0</v>
      </c>
      <c r="F22" s="97" t="s">
        <v>124</v>
      </c>
      <c r="G22" s="40"/>
      <c r="H22" s="40"/>
      <c r="I22" s="235">
        <f t="shared" si="1"/>
        <v>0</v>
      </c>
      <c r="J22" s="553"/>
    </row>
    <row r="23" spans="1:10" ht="12.75" customHeight="1">
      <c r="A23" s="92" t="s">
        <v>20</v>
      </c>
      <c r="B23" s="105" t="s">
        <v>129</v>
      </c>
      <c r="C23" s="40"/>
      <c r="D23" s="40"/>
      <c r="E23" s="231">
        <f t="shared" si="2"/>
        <v>0</v>
      </c>
      <c r="F23" s="98" t="s">
        <v>113</v>
      </c>
      <c r="G23" s="40"/>
      <c r="H23" s="40"/>
      <c r="I23" s="235">
        <f t="shared" si="1"/>
        <v>0</v>
      </c>
      <c r="J23" s="553"/>
    </row>
    <row r="24" spans="1:10" ht="12.75" customHeight="1">
      <c r="A24" s="90" t="s">
        <v>21</v>
      </c>
      <c r="B24" s="106" t="s">
        <v>130</v>
      </c>
      <c r="C24" s="100">
        <f>+C25+C26+C27+C28+C29</f>
        <v>0</v>
      </c>
      <c r="D24" s="100">
        <f>+D25+D26+D27+D28+D29</f>
        <v>0</v>
      </c>
      <c r="E24" s="100">
        <f>+E25+E26+E27+E28+E29</f>
        <v>0</v>
      </c>
      <c r="F24" s="107" t="s">
        <v>111</v>
      </c>
      <c r="G24" s="40"/>
      <c r="H24" s="40"/>
      <c r="I24" s="235">
        <f t="shared" si="1"/>
        <v>0</v>
      </c>
      <c r="J24" s="553"/>
    </row>
    <row r="25" spans="1:10" ht="12.75" customHeight="1">
      <c r="A25" s="92" t="s">
        <v>22</v>
      </c>
      <c r="B25" s="105" t="s">
        <v>131</v>
      </c>
      <c r="C25" s="40"/>
      <c r="D25" s="40"/>
      <c r="E25" s="231">
        <f t="shared" si="2"/>
        <v>0</v>
      </c>
      <c r="F25" s="107" t="s">
        <v>271</v>
      </c>
      <c r="G25" s="40"/>
      <c r="H25" s="40"/>
      <c r="I25" s="235">
        <f t="shared" si="1"/>
        <v>0</v>
      </c>
      <c r="J25" s="553"/>
    </row>
    <row r="26" spans="1:10" ht="12.75" customHeight="1">
      <c r="A26" s="90" t="s">
        <v>23</v>
      </c>
      <c r="B26" s="105" t="s">
        <v>132</v>
      </c>
      <c r="C26" s="40"/>
      <c r="D26" s="40"/>
      <c r="E26" s="231">
        <f t="shared" si="2"/>
        <v>0</v>
      </c>
      <c r="F26" s="102"/>
      <c r="G26" s="40"/>
      <c r="H26" s="40"/>
      <c r="I26" s="235">
        <f t="shared" si="1"/>
        <v>0</v>
      </c>
      <c r="J26" s="553"/>
    </row>
    <row r="27" spans="1:10" ht="12.75" customHeight="1">
      <c r="A27" s="92" t="s">
        <v>24</v>
      </c>
      <c r="B27" s="104" t="s">
        <v>133</v>
      </c>
      <c r="C27" s="40"/>
      <c r="D27" s="40"/>
      <c r="E27" s="231">
        <f t="shared" si="2"/>
        <v>0</v>
      </c>
      <c r="F27" s="45"/>
      <c r="G27" s="40"/>
      <c r="H27" s="40"/>
      <c r="I27" s="235">
        <f t="shared" si="1"/>
        <v>0</v>
      </c>
      <c r="J27" s="553"/>
    </row>
    <row r="28" spans="1:10" ht="12.75" customHeight="1">
      <c r="A28" s="90" t="s">
        <v>25</v>
      </c>
      <c r="B28" s="108" t="s">
        <v>134</v>
      </c>
      <c r="C28" s="40"/>
      <c r="D28" s="40"/>
      <c r="E28" s="231">
        <f t="shared" si="2"/>
        <v>0</v>
      </c>
      <c r="F28" s="29"/>
      <c r="G28" s="40"/>
      <c r="H28" s="40"/>
      <c r="I28" s="235">
        <f t="shared" si="1"/>
        <v>0</v>
      </c>
      <c r="J28" s="553"/>
    </row>
    <row r="29" spans="1:10" ht="12.75" customHeight="1" thickBot="1">
      <c r="A29" s="92" t="s">
        <v>26</v>
      </c>
      <c r="B29" s="109" t="s">
        <v>135</v>
      </c>
      <c r="C29" s="40"/>
      <c r="D29" s="40"/>
      <c r="E29" s="231">
        <f t="shared" si="2"/>
        <v>0</v>
      </c>
      <c r="F29" s="45"/>
      <c r="G29" s="40"/>
      <c r="H29" s="40"/>
      <c r="I29" s="235">
        <f t="shared" si="1"/>
        <v>0</v>
      </c>
      <c r="J29" s="553"/>
    </row>
    <row r="30" spans="1:10" ht="21.75" customHeight="1" thickBot="1">
      <c r="A30" s="95" t="s">
        <v>27</v>
      </c>
      <c r="B30" s="47" t="s">
        <v>268</v>
      </c>
      <c r="C30" s="78">
        <f>+C18+C24</f>
        <v>7856801</v>
      </c>
      <c r="D30" s="78">
        <f>+D18+D24</f>
        <v>0</v>
      </c>
      <c r="E30" s="78">
        <f>+E18+E24</f>
        <v>7856801</v>
      </c>
      <c r="F30" s="47" t="s">
        <v>272</v>
      </c>
      <c r="G30" s="78">
        <f>SUM(G18:G29)</f>
        <v>0</v>
      </c>
      <c r="H30" s="78">
        <f>SUM(H18:H29)</f>
        <v>0</v>
      </c>
      <c r="I30" s="111">
        <f>SUM(I18:I29)</f>
        <v>0</v>
      </c>
      <c r="J30" s="553"/>
    </row>
    <row r="31" spans="1:10" ht="13.5" thickBot="1">
      <c r="A31" s="95" t="s">
        <v>28</v>
      </c>
      <c r="B31" s="101" t="s">
        <v>273</v>
      </c>
      <c r="C31" s="241">
        <f>+C17+C30</f>
        <v>103461731</v>
      </c>
      <c r="D31" s="241">
        <f>+D17+D30</f>
        <v>99274511</v>
      </c>
      <c r="E31" s="242">
        <f>+E17+E30</f>
        <v>202736242</v>
      </c>
      <c r="F31" s="101" t="s">
        <v>274</v>
      </c>
      <c r="G31" s="241">
        <f>+G17+G30</f>
        <v>129888934</v>
      </c>
      <c r="H31" s="241">
        <f>+H17+H30</f>
        <v>123874027</v>
      </c>
      <c r="I31" s="242">
        <f>+I17+I30</f>
        <v>253762961</v>
      </c>
      <c r="J31" s="553"/>
    </row>
    <row r="32" spans="1:10" ht="13.5" thickBot="1">
      <c r="A32" s="95" t="s">
        <v>29</v>
      </c>
      <c r="B32" s="101" t="s">
        <v>87</v>
      </c>
      <c r="C32" s="241">
        <f>IF(C17-G17&lt;0,G17-C17,"-")</f>
        <v>34284004</v>
      </c>
      <c r="D32" s="241">
        <f>IF(D17-H17&lt;0,H17-D17,"-")</f>
        <v>24599516</v>
      </c>
      <c r="E32" s="242">
        <f>IF(E17-I17&lt;0,I17-E17,"-")</f>
        <v>58883520</v>
      </c>
      <c r="F32" s="101" t="s">
        <v>88</v>
      </c>
      <c r="G32" s="241" t="str">
        <f>IF(C17-G17&gt;0,C17-G17,"-")</f>
        <v>-</v>
      </c>
      <c r="H32" s="241" t="str">
        <f>IF(D17-H17&gt;0,D17-H17,"-")</f>
        <v>-</v>
      </c>
      <c r="I32" s="242" t="str">
        <f>IF(E17-I17&gt;0,E17-I17,"-")</f>
        <v>-</v>
      </c>
      <c r="J32" s="553"/>
    </row>
    <row r="33" spans="1:10" ht="13.5" thickBot="1">
      <c r="A33" s="95" t="s">
        <v>30</v>
      </c>
      <c r="B33" s="101" t="s">
        <v>425</v>
      </c>
      <c r="C33" s="241">
        <f>IF(C31-G31&lt;0,G31-C31,"-")</f>
        <v>26427203</v>
      </c>
      <c r="D33" s="241">
        <f>IF(D31-H31&lt;0,H31-D31,"-")</f>
        <v>24599516</v>
      </c>
      <c r="E33" s="241">
        <f>IF(E31-I31&lt;0,I31-E31,"-")</f>
        <v>51026719</v>
      </c>
      <c r="F33" s="101" t="s">
        <v>426</v>
      </c>
      <c r="G33" s="241" t="str">
        <f>IF(C31-G31&gt;0,C31-G31,"-")</f>
        <v>-</v>
      </c>
      <c r="H33" s="241" t="str">
        <f>IF(D31-H31&gt;0,D31-H31,"-")</f>
        <v>-</v>
      </c>
      <c r="I33" s="243" t="str">
        <f>IF(E31-I31&gt;0,E31-I31,"-")</f>
        <v>-</v>
      </c>
      <c r="J33" s="55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Baumann-Soós Adrienn</cp:lastModifiedBy>
  <cp:lastPrinted>2024-02-15T13:45:45Z</cp:lastPrinted>
  <dcterms:created xsi:type="dcterms:W3CDTF">1999-10-30T10:30:45Z</dcterms:created>
  <dcterms:modified xsi:type="dcterms:W3CDTF">2024-02-19T14:08:21Z</dcterms:modified>
  <cp:category/>
  <cp:version/>
  <cp:contentType/>
  <cp:contentStatus/>
</cp:coreProperties>
</file>