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968" firstSheet="1" activeTab="35"/>
  </bookViews>
  <sheets>
    <sheet name="Z_TARTALOMJEGYZÉK" sheetId="1" r:id="rId1"/>
    <sheet name="Z_ALAPADATOK" sheetId="2" r:id="rId2"/>
    <sheet name="Z_ÖSSZEFÜGGÉSEK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Z_ELLENŐRZÉS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14" sheetId="18" r:id="rId18"/>
    <sheet name="15" sheetId="19" r:id="rId19"/>
    <sheet name="16" sheetId="20" r:id="rId20"/>
    <sheet name="17" sheetId="21" r:id="rId21"/>
    <sheet name="18" sheetId="22" r:id="rId22"/>
    <sheet name="19" sheetId="23" r:id="rId23"/>
    <sheet name="20" sheetId="24" r:id="rId24"/>
    <sheet name="21" sheetId="25" r:id="rId25"/>
    <sheet name="22" sheetId="26" r:id="rId26"/>
    <sheet name="23" sheetId="27" r:id="rId27"/>
    <sheet name="24" sheetId="28" r:id="rId28"/>
    <sheet name="25" sheetId="29" r:id="rId29"/>
    <sheet name="26" sheetId="30" r:id="rId30"/>
    <sheet name="27" sheetId="31" r:id="rId31"/>
    <sheet name="28" sheetId="32" r:id="rId32"/>
    <sheet name="29" sheetId="33" r:id="rId33"/>
    <sheet name="30" sheetId="34" r:id="rId34"/>
    <sheet name="31" sheetId="35" r:id="rId35"/>
    <sheet name="32" sheetId="36" r:id="rId36"/>
  </sheets>
  <externalReferences>
    <externalReference r:id="rId39"/>
    <externalReference r:id="rId40"/>
  </externalReferences>
  <definedNames>
    <definedName name="_ftn1" localSheetId="33">'30'!#REF!</definedName>
    <definedName name="_ftnref1" localSheetId="33">'30'!$A$23</definedName>
    <definedName name="_xlfn.IFERROR" hidden="1">#NAME?</definedName>
    <definedName name="_xlnm.Print_Titles" localSheetId="13">'10'!$1:$6</definedName>
    <definedName name="_xlnm.Print_Titles" localSheetId="14">'11'!$1:$6</definedName>
    <definedName name="_xlnm.Print_Titles" localSheetId="15">'12'!$1:$6</definedName>
    <definedName name="_xlnm.Print_Titles" localSheetId="16">'13'!$1:$6</definedName>
    <definedName name="_xlnm.Print_Titles" localSheetId="17">'14'!$1:$6</definedName>
    <definedName name="_xlnm.Print_Titles" localSheetId="18">'15'!$1:$6</definedName>
    <definedName name="_xlnm.Print_Titles" localSheetId="19">'16'!$1:$6</definedName>
    <definedName name="_xlnm.Print_Titles" localSheetId="20">'17'!$1:$6</definedName>
    <definedName name="_xlnm.Print_Titles" localSheetId="21">'18'!$1:$6</definedName>
    <definedName name="_xlnm.Print_Titles" localSheetId="22">'19'!$1:$6</definedName>
    <definedName name="_xlnm.Print_Titles" localSheetId="23">'20'!$1:$6</definedName>
    <definedName name="_xlnm.Print_Titles" localSheetId="24">'21'!$1:$6</definedName>
    <definedName name="_xlnm.Print_Titles" localSheetId="31">'28'!$5:$9</definedName>
    <definedName name="_xlnm.Print_Area" localSheetId="3">'1'!$A$1:$E$168</definedName>
    <definedName name="_xlnm.Print_Area" localSheetId="13">'10'!$A$1:$E$160</definedName>
    <definedName name="_xlnm.Print_Area" localSheetId="4">'2'!$A$1:$E$168</definedName>
    <definedName name="_xlnm.Print_Area" localSheetId="27">'24'!$A$1:$F$160</definedName>
    <definedName name="_xlnm.Print_Area" localSheetId="5">'3'!$A$1:$E$166</definedName>
    <definedName name="_xlnm.Print_Area" localSheetId="34">'31'!$A$1:$F$16</definedName>
    <definedName name="_xlnm.Print_Area" localSheetId="6">'4'!$A$1:$E$166</definedName>
    <definedName name="_xlnm.Print_Area" localSheetId="11">'8'!$A$1:$G$21</definedName>
  </definedNames>
  <calcPr fullCalcOnLoad="1"/>
</workbook>
</file>

<file path=xl/sharedStrings.xml><?xml version="1.0" encoding="utf-8"?>
<sst xmlns="http://schemas.openxmlformats.org/spreadsheetml/2006/main" count="5185" uniqueCount="1258">
  <si>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</si>
  <si>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</si>
  <si>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</si>
  <si>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</si>
  <si>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</si>
  <si>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</si>
  <si>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</si>
  <si>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</si>
  <si>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</si>
  <si>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</si>
  <si>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</si>
  <si>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</si>
  <si>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</si>
  <si>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</si>
  <si>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</si>
  <si>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</si>
  <si>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</si>
  <si>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</si>
  <si>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</si>
  <si>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</si>
  <si>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</si>
  <si>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</si>
  <si>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</si>
  <si>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</si>
  <si>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</si>
  <si>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</si>
  <si>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</si>
  <si>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</si>
  <si>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</si>
  <si>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</si>
  <si>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</si>
  <si>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</si>
  <si>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</si>
  <si>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</si>
  <si>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</si>
  <si>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</si>
  <si>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</si>
  <si>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</si>
  <si>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</si>
  <si>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</si>
  <si>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</si>
  <si>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</si>
  <si>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</si>
  <si>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</si>
  <si>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</si>
  <si>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</si>
  <si>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</si>
  <si>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</si>
  <si>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</si>
  <si>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</si>
  <si>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</si>
  <si>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</si>
  <si>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</si>
  <si>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</si>
  <si>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</si>
  <si>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</si>
  <si>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</si>
  <si>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</si>
  <si>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</si>
  <si>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</si>
  <si>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</si>
  <si>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</si>
  <si>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</si>
  <si>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</si>
  <si>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</si>
  <si>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</si>
  <si>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</si>
  <si>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</si>
  <si>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</si>
  <si>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</si>
  <si>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</si>
  <si>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</si>
  <si>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</si>
  <si>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</si>
  <si>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</si>
  <si>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</si>
  <si>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</si>
  <si>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</si>
  <si>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</si>
  <si>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</si>
  <si>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</si>
  <si>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</si>
  <si>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</si>
  <si>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</si>
  <si>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</si>
  <si>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</si>
  <si>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</si>
  <si>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</si>
  <si>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</si>
  <si>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</si>
  <si>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</si>
  <si>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</si>
  <si>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</si>
  <si>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</si>
  <si>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</si>
  <si>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</si>
  <si>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</si>
  <si>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</si>
  <si>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</si>
  <si>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</si>
  <si>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</si>
  <si>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</si>
  <si>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</si>
  <si>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</si>
  <si>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</si>
  <si>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</si>
  <si>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</si>
  <si>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</si>
  <si>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</si>
  <si>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</si>
  <si>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</si>
  <si>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</si>
  <si>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</si>
  <si>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</si>
  <si>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</si>
  <si>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</si>
  <si>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</si>
  <si>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</si>
  <si>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</si>
  <si>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</si>
  <si>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</si>
  <si>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</si>
  <si>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</si>
  <si>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</si>
  <si>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</si>
  <si>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</si>
  <si>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</si>
  <si>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</si>
  <si>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</si>
  <si>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</si>
  <si>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</si>
  <si>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</si>
  <si>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</si>
  <si>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</si>
  <si>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</si>
  <si>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</si>
  <si>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</si>
  <si>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</si>
  <si>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</si>
  <si>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</si>
  <si>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</si>
  <si>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</si>
  <si>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</si>
  <si>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</si>
  <si>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</si>
  <si>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</si>
  <si>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</si>
  <si>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</si>
  <si>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</si>
  <si>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</si>
  <si>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</si>
  <si>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</si>
  <si>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</si>
  <si>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</si>
  <si>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</si>
  <si>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</si>
  <si>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</si>
  <si>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</si>
  <si>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</si>
  <si>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</si>
  <si>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</si>
  <si>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</si>
  <si>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</si>
  <si>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</si>
  <si>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</si>
  <si>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</si>
  <si>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</si>
  <si>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</si>
  <si>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</si>
  <si>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</si>
  <si>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</si>
  <si>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</si>
  <si>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</si>
  <si>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</si>
  <si>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</si>
  <si>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</si>
  <si>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</si>
  <si>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</si>
  <si>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</si>
  <si>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</si>
  <si>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</si>
  <si>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</si>
  <si>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</si>
  <si>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</si>
  <si>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</si>
  <si>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</si>
  <si>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</si>
  <si>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</si>
  <si>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</si>
  <si>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</si>
  <si>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</si>
  <si>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</si>
  <si>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</si>
  <si>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</si>
  <si>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</si>
  <si>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</si>
  <si>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</si>
  <si>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</si>
  <si>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</si>
  <si>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</si>
  <si>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</si>
  <si>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</si>
  <si>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</si>
  <si>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</si>
  <si>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</si>
  <si>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</si>
  <si>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</si>
  <si>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</si>
  <si>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</si>
  <si>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</si>
  <si>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</si>
  <si>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</si>
  <si>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</si>
  <si>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</si>
  <si>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</si>
  <si>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</si>
  <si>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</si>
  <si>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</si>
  <si>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</si>
  <si>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</si>
  <si>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</si>
  <si>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</si>
  <si>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</si>
  <si>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</si>
  <si>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</si>
  <si>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</si>
  <si>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</si>
  <si>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</si>
  <si>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</si>
  <si>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</si>
  <si>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</si>
  <si>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</si>
  <si>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</si>
  <si>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</si>
  <si>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</si>
  <si>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</si>
  <si>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</si>
  <si>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</si>
  <si>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</si>
  <si>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</si>
  <si>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</si>
  <si>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</si>
  <si>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</si>
  <si>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</si>
  <si>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</si>
  <si>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</si>
  <si>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</si>
  <si>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</si>
  <si>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</si>
  <si>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</si>
  <si>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</si>
  <si>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</si>
  <si>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</si>
  <si>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</si>
  <si>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</si>
  <si>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</si>
  <si>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</si>
  <si>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</si>
  <si>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</si>
  <si>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</si>
  <si>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</si>
  <si>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</si>
  <si>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</si>
  <si>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</si>
  <si>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</si>
  <si>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</si>
  <si>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</si>
  <si>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</si>
  <si>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</si>
  <si>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</si>
  <si>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</si>
  <si>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</si>
  <si>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</si>
  <si>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</si>
  <si>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</si>
  <si>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</si>
  <si>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</si>
  <si>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</si>
  <si>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</si>
  <si>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</si>
  <si>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</si>
  <si>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</si>
  <si>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</si>
  <si>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</si>
  <si>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</si>
  <si>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</si>
  <si>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</si>
  <si>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</si>
  <si>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</si>
  <si>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</si>
  <si>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</si>
  <si>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</si>
  <si>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</si>
  <si>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</si>
  <si>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</si>
  <si>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</si>
  <si>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</si>
  <si>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</si>
  <si>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</si>
  <si>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</si>
  <si>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</si>
  <si>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</si>
  <si>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</si>
  <si>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</si>
  <si>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</si>
  <si>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</si>
  <si>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</si>
  <si>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</si>
  <si>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</si>
  <si>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</si>
  <si>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</si>
  <si>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</si>
  <si>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</si>
  <si>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</si>
  <si>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</si>
  <si>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</si>
  <si>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</si>
  <si>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</si>
  <si>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</si>
  <si>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</si>
  <si>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</si>
  <si>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</si>
  <si>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</si>
  <si>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</si>
  <si>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</si>
  <si>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</si>
  <si>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</si>
  <si>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</si>
  <si>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</si>
  <si>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</si>
  <si>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</si>
  <si>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</si>
  <si>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</si>
  <si>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</si>
  <si>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</si>
  <si>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</si>
  <si>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</si>
  <si>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</si>
  <si>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</si>
  <si>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</si>
  <si>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</si>
  <si>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</si>
  <si>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</si>
  <si>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</si>
  <si>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</si>
  <si>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</si>
  <si>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</si>
  <si>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</si>
  <si>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</si>
  <si>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</si>
  <si>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</si>
  <si>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</si>
  <si>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</si>
  <si>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</si>
  <si>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</si>
  <si>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</si>
  <si>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</si>
  <si>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</si>
  <si>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</si>
  <si>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</si>
  <si>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</si>
  <si>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</si>
  <si>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</si>
  <si>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</si>
  <si>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</si>
  <si>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</si>
  <si>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</si>
  <si>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</si>
  <si>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</si>
  <si>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</si>
  <si>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</si>
  <si>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</si>
  <si>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</si>
  <si>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</si>
  <si>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</si>
  <si>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</si>
  <si>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</si>
  <si>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</si>
  <si>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</si>
  <si>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</si>
  <si>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</si>
  <si>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</si>
  <si>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</si>
  <si>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</si>
  <si>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</si>
  <si>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</si>
  <si>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</si>
  <si>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</si>
  <si>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</si>
  <si>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</si>
  <si>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</si>
  <si>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</si>
  <si>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</si>
  <si>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</si>
  <si>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</si>
  <si>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</si>
  <si>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</si>
  <si>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</si>
  <si>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</si>
  <si>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</si>
  <si>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</si>
  <si>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</si>
  <si>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</si>
  <si>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</si>
  <si>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</si>
  <si>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</si>
  <si>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</si>
  <si>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</si>
  <si>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</si>
  <si>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</si>
  <si>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</si>
  <si>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</si>
  <si>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</si>
  <si>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</si>
  <si>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</si>
  <si>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</si>
  <si>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</si>
  <si>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</si>
  <si>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</si>
  <si>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</si>
  <si>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</si>
  <si>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</si>
  <si>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</si>
  <si>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</si>
  <si>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</si>
  <si>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</si>
  <si>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</si>
  <si>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</si>
  <si>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</si>
  <si>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</si>
  <si>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</si>
  <si>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</si>
  <si>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</si>
  <si>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</si>
  <si>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</si>
  <si>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</si>
  <si>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</si>
  <si>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</si>
  <si>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</si>
  <si>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</si>
  <si>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</si>
  <si>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</si>
  <si>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</si>
  <si>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</si>
  <si>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</si>
  <si>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</si>
  <si>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</si>
  <si>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</si>
  <si>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</si>
  <si>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J</t>
  </si>
  <si>
    <t>K</t>
  </si>
  <si>
    <t>Eredeti ei.</t>
  </si>
  <si>
    <t>Módosított ei.</t>
  </si>
  <si>
    <t>Eredeti előirányzat</t>
  </si>
  <si>
    <t>Módosított előirányzat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</si>
  <si>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</si>
  <si>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</si>
  <si>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</si>
  <si>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</si>
  <si>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</si>
  <si>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</si>
  <si>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</si>
  <si>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</si>
  <si>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</si>
  <si>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</si>
  <si>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</si>
  <si>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</si>
  <si>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</si>
  <si>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</si>
  <si>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</si>
  <si>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</si>
  <si>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</si>
  <si>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</si>
  <si>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</si>
  <si>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</si>
  <si>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</si>
  <si>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</si>
  <si>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</si>
  <si>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</si>
  <si>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</si>
  <si>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</si>
  <si>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</si>
  <si>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</si>
  <si>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</si>
  <si>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</si>
  <si>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</si>
  <si>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</si>
  <si>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</si>
  <si>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</si>
  <si>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</si>
  <si>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</si>
  <si>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</si>
  <si>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</si>
  <si>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</si>
  <si>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</si>
  <si>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</si>
  <si>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</si>
  <si>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</si>
  <si>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</si>
  <si>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</si>
  <si>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</si>
  <si>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</si>
  <si>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</si>
  <si>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</si>
  <si>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</si>
  <si>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bevételei, kiadási, hozzűjárulások</t>
  </si>
  <si>
    <t>Közhatalmi bevételek (4.1.+...+4.7.)</t>
  </si>
  <si>
    <t>Lejötött betétek megszüntetése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</si>
  <si>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</si>
  <si>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</si>
  <si>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</si>
  <si>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</si>
  <si>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</si>
  <si>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</si>
  <si>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</si>
  <si>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</si>
  <si>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</si>
  <si>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</si>
  <si>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</si>
  <si>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</si>
  <si>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</si>
  <si>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</si>
  <si>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</si>
  <si>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</si>
  <si>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</si>
  <si>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</si>
  <si>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</si>
  <si>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</si>
  <si>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</si>
  <si>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</si>
  <si>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</si>
  <si>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</si>
  <si>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</si>
  <si>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</si>
  <si>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ESZKÖZÖK</t>
  </si>
  <si>
    <t>Sorszám</t>
  </si>
  <si>
    <t xml:space="preserve">A </t>
  </si>
  <si>
    <t>FORRÁSOK</t>
  </si>
  <si>
    <t>I) KINCSTÁRI SZÁMLAVEZETÉSSEL KAPCSOLATOS ELSZÁMOLÁSOK</t>
  </si>
  <si>
    <t>Értéke
(Ft)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</si>
  <si>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</si>
  <si>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</si>
  <si>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</si>
  <si>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</si>
  <si>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</si>
  <si>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</si>
  <si>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</si>
  <si>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</si>
  <si>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</si>
  <si>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</si>
  <si>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</si>
  <si>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</si>
  <si>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</si>
  <si>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</si>
  <si>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</si>
  <si>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</si>
  <si>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</si>
  <si>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</si>
  <si>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</si>
  <si>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</si>
  <si>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</si>
  <si>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</si>
  <si>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</si>
  <si>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</si>
  <si>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</si>
  <si>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</si>
  <si>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</si>
  <si>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</si>
  <si>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</si>
  <si>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Az önkormányzat által adott közvetett támogatások</t>
  </si>
  <si>
    <t>(kedvezménye)</t>
  </si>
  <si>
    <t>K I M U T A T Á S</t>
  </si>
  <si>
    <t>VAGYONKIMUTATÁS</t>
  </si>
  <si>
    <t>a könyvviteli mérlegben értékkel szerplő eszközökről</t>
  </si>
  <si>
    <t>az érték nélkül nyilvántartott eszkzözkről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</si>
  <si>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</si>
  <si>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</si>
  <si>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</si>
  <si>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</si>
  <si>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</si>
  <si>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</si>
  <si>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</si>
  <si>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Működési célú bevételek, kiadások mérlege</t>
  </si>
  <si>
    <t>Felhalmozási célú bevételek, kiadások mérlege</t>
  </si>
  <si>
    <t>Ellenőrzés az 1-es és 2.1., 2.2. mellékletek adati esetében</t>
  </si>
  <si>
    <t>Beruházási (felhalmozási) kiadások előirányzata beruházásonként</t>
  </si>
  <si>
    <t>Felújítási kiadások előirányzata felújításonként</t>
  </si>
  <si>
    <t>ZÁRSZÁMADÁSI RENDLET</t>
  </si>
  <si>
    <t>Pénzeszköz változás levezetése</t>
  </si>
  <si>
    <t>a könyvviteli mérlegben értékkel szereplő forrásokról</t>
  </si>
  <si>
    <t>a</t>
  </si>
  <si>
    <t>/</t>
  </si>
  <si>
    <t>(</t>
  </si>
  <si>
    <t>)</t>
  </si>
  <si>
    <t>önkormányzati rendelethez</t>
  </si>
  <si>
    <t>Táblázatok adatainak összefüggései</t>
  </si>
  <si>
    <t>Az önkormányzat által nyújtott hitel és kölcsön alakulása lejárat és eszközök szerinti bontásban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</si>
  <si>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</si>
  <si>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</si>
  <si>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</si>
  <si>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</si>
  <si>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</si>
  <si>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</si>
  <si>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</si>
  <si>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</si>
  <si>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</si>
  <si>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</si>
  <si>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</si>
  <si>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</si>
  <si>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KÖLTSÉGVETÉSI SZERVEK MARADVÁNYÁNAK ALAKULÁSA</t>
  </si>
  <si>
    <t>. évi</t>
  </si>
  <si>
    <t>Forintban!</t>
  </si>
  <si>
    <r>
      <t>2017. évi C.
törvény 2. sz. melléklete száma</t>
    </r>
    <r>
      <rPr>
        <b/>
        <sz val="10"/>
        <rFont val="Symbol"/>
        <family val="1"/>
      </rPr>
      <t>*</t>
    </r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</si>
  <si>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</si>
  <si>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</si>
  <si>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</si>
  <si>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</si>
  <si>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</si>
  <si>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</si>
  <si>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</si>
  <si>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Balatonvilágos Község Önkormányzata</t>
  </si>
  <si>
    <t>Balatonvilágos Község Önkormányzat Gazdasági Ellátó és Vagyongazdálkodó Szervezete</t>
  </si>
  <si>
    <t>Balatonvilágosi Szivárvány óvoda</t>
  </si>
  <si>
    <t>Önkormányzatok gyermekétkeztetési feladatainak támogatása</t>
  </si>
  <si>
    <t>Balatonvilágosi Szivárvány Óvoda</t>
  </si>
  <si>
    <t>1.ba</t>
  </si>
  <si>
    <t xml:space="preserve">Zöldterület gondozás </t>
  </si>
  <si>
    <t xml:space="preserve">beszámítással </t>
  </si>
  <si>
    <t>1.bb.</t>
  </si>
  <si>
    <t xml:space="preserve">Közvilágítás </t>
  </si>
  <si>
    <t>1.bc.</t>
  </si>
  <si>
    <t xml:space="preserve">Köztemetői feladatok </t>
  </si>
  <si>
    <t>1.bd.</t>
  </si>
  <si>
    <t xml:space="preserve">Közutak fenntartása </t>
  </si>
  <si>
    <t>beszámítással csökkentett támogatás összesen:</t>
  </si>
  <si>
    <t>I.1.c)</t>
  </si>
  <si>
    <t>Egyéb önkormánzati feladatok</t>
  </si>
  <si>
    <t>beszámítás</t>
  </si>
  <si>
    <t>Egyéb önkormányzati fel. beszámítás után</t>
  </si>
  <si>
    <t>I.1/d)</t>
  </si>
  <si>
    <t>Lakott külterületi feladatok</t>
  </si>
  <si>
    <t>Lakott külterületi fel. beszámítás után</t>
  </si>
  <si>
    <t>I.1/e</t>
  </si>
  <si>
    <t>Üdülőhelyi feladatok</t>
  </si>
  <si>
    <t>Üdülőhelyi feladatok beszámítás után</t>
  </si>
  <si>
    <t>I.6.</t>
  </si>
  <si>
    <t>polgármesterek illetmény támogatása</t>
  </si>
  <si>
    <t>I.</t>
  </si>
  <si>
    <t>Helyi önkorm.műk. támogatása</t>
  </si>
  <si>
    <t>II.</t>
  </si>
  <si>
    <t>Települési önkorm. egyes köznevelési fel.tám.</t>
  </si>
  <si>
    <t>Óvoda bértámogatás 8/12</t>
  </si>
  <si>
    <t>Óvoda bértámogatás 4/12</t>
  </si>
  <si>
    <t>Óvoda működési tám 8/12</t>
  </si>
  <si>
    <t>Óvoda működési tám 4/12</t>
  </si>
  <si>
    <t>Köznevelési feladatok összesen:</t>
  </si>
  <si>
    <t>III.</t>
  </si>
  <si>
    <t>Tel.önk. Szociális és egyerekjóléti fel. tám.</t>
  </si>
  <si>
    <t>Hozzájárulás a pénzbeli szoc.ell.</t>
  </si>
  <si>
    <t>Egyes szoc.alapellátások tám.</t>
  </si>
  <si>
    <t>c.</t>
  </si>
  <si>
    <t>Szociális étkeztetés</t>
  </si>
  <si>
    <t>e.</t>
  </si>
  <si>
    <t>Tanyagondnoki szolgáltatás</t>
  </si>
  <si>
    <t>m</t>
  </si>
  <si>
    <t>Kistelepülések szoc.felad.tám.</t>
  </si>
  <si>
    <t>Szoc. és gyerekjóléti szolg. összesen:</t>
  </si>
  <si>
    <t>Gyermekétkeztetés támogatása</t>
  </si>
  <si>
    <t>dolgozók bértámogatása</t>
  </si>
  <si>
    <t>gyermekétkeztetés üzemeltetés tám.</t>
  </si>
  <si>
    <t>rászorulók nyári étkeztetése</t>
  </si>
  <si>
    <t>gyermekétkeztetés támogatás össz.</t>
  </si>
  <si>
    <t>Államkincstár által közöl támogatás össz.</t>
  </si>
  <si>
    <t>Könyvtári támogatás</t>
  </si>
  <si>
    <t>Önkormányzati szolidaritási hozzájárulás</t>
  </si>
  <si>
    <t>Állami támogatás összesen:</t>
  </si>
  <si>
    <t>2022.</t>
  </si>
  <si>
    <t>Lakásépítési kölcsön</t>
  </si>
  <si>
    <t>Lakásvásárlási kölcsön</t>
  </si>
  <si>
    <t>Balatonvilágosi Nyugdíjasok Érdekvédelmi-, Érdekképviseleti Egyesülete</t>
  </si>
  <si>
    <t>Polgárőrség</t>
  </si>
  <si>
    <t>Balatonvilágosi Nők Egyesülete</t>
  </si>
  <si>
    <t>Balatonvilágosi Népdalkör</t>
  </si>
  <si>
    <t>Rákóczi Szövetség</t>
  </si>
  <si>
    <t>Mozdulj Balaton!</t>
  </si>
  <si>
    <t>Mozdulj Világos Sportegyesület</t>
  </si>
  <si>
    <t>Balatoni futár</t>
  </si>
  <si>
    <t>Vidám Oroszlán Izsó Veronika, Sárkányhajó</t>
  </si>
  <si>
    <t>Tervezett 
( Ft)</t>
  </si>
  <si>
    <t>Tényleges 
( Ft)</t>
  </si>
  <si>
    <t>Kick-Box SE</t>
  </si>
  <si>
    <t>Kedvezmény nélkül elérhető bevétel</t>
  </si>
  <si>
    <t>Kedvezmények összege</t>
  </si>
  <si>
    <t>Felszerelésre</t>
  </si>
  <si>
    <t>Rendezvény szervezése</t>
  </si>
  <si>
    <t>Évforduló megrendezése</t>
  </si>
  <si>
    <t>„0”-ra leírt eszközök összesen</t>
  </si>
  <si>
    <t>Immateriális javak</t>
  </si>
  <si>
    <t>Ingatlanok és kapcsolódó vagyoni értékű jogok</t>
  </si>
  <si>
    <t>Gépek, berendezések, felszerelések, járművek</t>
  </si>
  <si>
    <t>Balatonaligai-Vízhasznosítási Szolgáltató Korlátolt Felelősségű Társaság</t>
  </si>
  <si>
    <t>Záró pénzkészlet 2020. december 31-én
Ebből:</t>
  </si>
  <si>
    <t>GEVSZ+Óvoda összesen</t>
  </si>
  <si>
    <t>Önkormányzat összesen:</t>
  </si>
  <si>
    <t>GEVSZ Összesen:</t>
  </si>
  <si>
    <t>Felhalmozási célú visszatéritendő támogatások bev áh-n kívülről</t>
  </si>
  <si>
    <t xml:space="preserve">Államháztartáson belüli megelőlegezések </t>
  </si>
  <si>
    <t>Önkormányzat Összes  bevétel, kiadás</t>
  </si>
  <si>
    <t>Önkormányzat Kötelező feladtok bevételei, kiadásai</t>
  </si>
  <si>
    <t>Önkormányzat Önként vállalt feladatok bevételei, kiadásai</t>
  </si>
  <si>
    <t>Önkormányzat Államigazgatási feladatok  bevételei, kiadásai</t>
  </si>
  <si>
    <t>Balatonvilágos Község Önkormányzat Gazdasági Ellátó és Vagyongazdálkodó Szervezete Összes bevétel, kiadás</t>
  </si>
  <si>
    <t>Balatonvilágos Község Önkormányzat Gazdasági Ellátó és Vagyongazdálkodó Szervezete Kötelező feladatok bevétel, kiadás</t>
  </si>
  <si>
    <t>Balatonvilágos Község Önkormányzat Gazdasági Ellátó és Vagyongazdálkodó Szervezete Önként vállalt feladatok bevétel, kiadás</t>
  </si>
  <si>
    <t>Balatonvilágos Község Önkormányzat Gazdasági Ellátó és Vagyongazdálkodó Szervezete Államigazgatási feladatok bevétel, kiadás</t>
  </si>
  <si>
    <t>Balatonvilágosi Szivárvány Óvoda Összes bevétel, kiadás</t>
  </si>
  <si>
    <t>Balatonvilágosi Szivárvány Óvoda Kötelező feladatok bevétel, kiadás</t>
  </si>
  <si>
    <t>Balatonvilágosi Szivárvány Óvoda Önként vállalt feladatok bevétel, kiadás</t>
  </si>
  <si>
    <t>Balatonvilágosi Szivárvány Óvoda Államigazgatási feladatok bevétel, kiadás</t>
  </si>
  <si>
    <t>Ellenőrzés</t>
  </si>
  <si>
    <t>Jóváhagyás után</t>
  </si>
  <si>
    <t>2021. évi eredeti előirányzat BEVÉTELEK</t>
  </si>
  <si>
    <t>2021. évi ZÁRSZÁMADÁSÁNAK PÉNZÜGYI MÉRLEGE</t>
  </si>
  <si>
    <t>2021. ÉVI ZÁRSZÁMADSÁS</t>
  </si>
  <si>
    <t>Felhasználás 2020. XII.31-ig.</t>
  </si>
  <si>
    <t>2021. évi módosított előirányzat</t>
  </si>
  <si>
    <t>Teljesítés 2021. XII. 31-ig.</t>
  </si>
  <si>
    <t>Összes teljesítés 2021. XII. 31-ig.</t>
  </si>
  <si>
    <t>2021. évi általános működés és ágazati feladatok támogatásának alakulása jogcímenként</t>
  </si>
  <si>
    <t>* Magyarország 2021. évi központi költségvetéséról szóló törvény</t>
  </si>
  <si>
    <t>2021. évi</t>
  </si>
  <si>
    <t>2021. ÉVI ZÁRSZÁMADÁSÁNAK PÉNZÜGYI MÉRLEGE</t>
  </si>
  <si>
    <t>2020. évi tény</t>
  </si>
  <si>
    <t>Hitel, kölcsön állomány 2021. dec.31-én</t>
  </si>
  <si>
    <t>2023.</t>
  </si>
  <si>
    <t>2023. után</t>
  </si>
  <si>
    <t>A 2021. évi céljelleggel juttatott támogatások felhasználásáról</t>
  </si>
  <si>
    <t>2021. év</t>
  </si>
  <si>
    <t>kötelezettségek és részesedések alakulása 2021-ben</t>
  </si>
  <si>
    <t>Pénzkészlet 2021. január 1-jén
Ebből:</t>
  </si>
  <si>
    <t>303/28. hrsz telek visszavétele</t>
  </si>
  <si>
    <t>Tárgyi eszköz beszerzés</t>
  </si>
  <si>
    <t>Csapadékvíz-elvezető hálózat kiépítése</t>
  </si>
  <si>
    <t>Kamerarendszer Erdődi utca</t>
  </si>
  <si>
    <t>Közvilágítás</t>
  </si>
  <si>
    <t xml:space="preserve">Zrínyi út csapadék víz elvezetés térburkolat </t>
  </si>
  <si>
    <t>Telekalakítás 021/6-9 hrsz</t>
  </si>
  <si>
    <t>MFP-OJKJF/2021</t>
  </si>
  <si>
    <t>MFP-KOEB/2021</t>
  </si>
  <si>
    <t>Strand IV. 0087 Fizetős strand</t>
  </si>
  <si>
    <t>Strand IV. 0091 Szabad strand</t>
  </si>
  <si>
    <t>2020</t>
  </si>
  <si>
    <t>2021</t>
  </si>
  <si>
    <t>Szőlő, Radnóti utca felújítása önerő</t>
  </si>
  <si>
    <t>MFP-OJKJF-2021 Terv dokumentáció</t>
  </si>
  <si>
    <t>MFP-UHK-2021 Műszaki dokumentáció</t>
  </si>
  <si>
    <t>Külterületi helyi közútak fejlesztése VP6-7.2.1.1-21 Önrész</t>
  </si>
  <si>
    <t>MFP-UHK/2021 Virág, Mező utca felújítása</t>
  </si>
  <si>
    <t>BMÖFT/2021 Radnóti, Szőlő utca felújítása</t>
  </si>
  <si>
    <t>2021. évi Eredeti előirányzat</t>
  </si>
  <si>
    <t>L</t>
  </si>
  <si>
    <t>M</t>
  </si>
  <si>
    <t>N</t>
  </si>
  <si>
    <t>O</t>
  </si>
  <si>
    <t>P</t>
  </si>
  <si>
    <t>Q</t>
  </si>
  <si>
    <t>R</t>
  </si>
  <si>
    <t>S=(N+O+P+Q+R)</t>
  </si>
  <si>
    <t>M=(S/C)</t>
  </si>
  <si>
    <t>Telekadó</t>
  </si>
  <si>
    <t>Adópótlék,bírság</t>
  </si>
  <si>
    <t>Kommunális adó</t>
  </si>
  <si>
    <t>4.8.</t>
  </si>
  <si>
    <t xml:space="preserve">Talajterhelési díj </t>
  </si>
  <si>
    <t>Egyéb közhatalmi bevétel</t>
  </si>
  <si>
    <t>Óvoda informatikai eszközök beszerzése</t>
  </si>
  <si>
    <t>Óvoda kisértékű tárgyi eszközök, polc, ruhaállvány hűtő, magnó</t>
  </si>
  <si>
    <t>GEVSZ konyhai eszközök, szék, öltöző szekrény, grill sütő, tálcal.</t>
  </si>
  <si>
    <t>Nem lakóingatlan, szivattyú beszerzése</t>
  </si>
  <si>
    <t>Sebességmérők beszerzése</t>
  </si>
  <si>
    <t>Sportpálya kerítés</t>
  </si>
  <si>
    <t>Iskola udvarra pad beszerzése</t>
  </si>
  <si>
    <t>Település üzemeltetés szgép beszerzés</t>
  </si>
  <si>
    <t>Fűnyíró beszerzés</t>
  </si>
  <si>
    <t>Játszótér kialakítás</t>
  </si>
  <si>
    <t>2 db lombfúvó beszerzése</t>
  </si>
  <si>
    <t>Riasztó rendszer telüz</t>
  </si>
  <si>
    <t>Kisértékű tárgyi eszközök és szerszámok (zöldterület)</t>
  </si>
  <si>
    <t>Településüzemeltetés gépjármű beszerzés</t>
  </si>
  <si>
    <t>Hivatal 2 db lap-top</t>
  </si>
  <si>
    <t>Hivatal anyakönyvi ig. kisértékű tárgyi eszköz beszerzés</t>
  </si>
  <si>
    <t>Hivatal bútor</t>
  </si>
  <si>
    <t>Kisértékű számítástechnikai eszközök és tárgyi eszközök</t>
  </si>
  <si>
    <t>Pad és szemetes iskolának</t>
  </si>
  <si>
    <t>Háziorvos szgép office</t>
  </si>
  <si>
    <t>Család és nővédelem belgyógyászati vizsgálóágy</t>
  </si>
  <si>
    <t>Könyvtár könyvvásárlás, könyvespolc, riasztó</t>
  </si>
  <si>
    <t>Padok beszerzése</t>
  </si>
  <si>
    <t>File szerver létrehozása</t>
  </si>
  <si>
    <t>17 gépre office</t>
  </si>
  <si>
    <t>Házasságkötő terembe légkondicionáló</t>
  </si>
  <si>
    <t>Háziorvosi rendelő és védőnő épület risztó kiépítése</t>
  </si>
  <si>
    <t>Tourinform épület kazáncsere</t>
  </si>
  <si>
    <t>Tourinform  számítógép beszerzés</t>
  </si>
  <si>
    <t>Fürdő és strand üzemeltetés kisértékű tárgyi eszköz pályázathoz</t>
  </si>
  <si>
    <t>Óvoda számítógép felújítása</t>
  </si>
  <si>
    <t>Kossuth utca és fürdő utca vízelvezetés</t>
  </si>
  <si>
    <t>Települési üzemeltetés informatikai eszközök felújítás</t>
  </si>
  <si>
    <t>Könyvtár épület risztó felújítása</t>
  </si>
  <si>
    <t>Riasztó felújítása önkó épület</t>
  </si>
  <si>
    <t>Konyha számítógép felújítás</t>
  </si>
  <si>
    <t xml:space="preserve">   Elszámolásból származó bevételek</t>
  </si>
  <si>
    <t>Zsombiért és a tartósan beteg gyermekekért Alapítvány</t>
  </si>
  <si>
    <t>Veszprém-Balaton Régió Kultúrájáért Közalapítvény</t>
  </si>
  <si>
    <t>Európa Kulturális Fővárosa hozzájárulási díj</t>
  </si>
  <si>
    <t>Rudniczai Dojo Kiokusin S.E. Karate Egyesület</t>
  </si>
  <si>
    <t>Működési hozzájárulás</t>
  </si>
  <si>
    <t>Mérleg szerinti érték</t>
  </si>
  <si>
    <t>Előző időszak</t>
  </si>
  <si>
    <t xml:space="preserve">Tárgy időszak 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</si>
  <si>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</si>
  <si>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</si>
  <si>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</si>
  <si>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</si>
  <si>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</si>
  <si>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</si>
  <si>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</si>
  <si>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</si>
  <si>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</si>
  <si>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</si>
  <si>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</si>
  <si>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</si>
  <si>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</si>
  <si>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</si>
  <si>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</si>
  <si>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</si>
  <si>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</si>
  <si>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</si>
  <si>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</si>
  <si>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</si>
  <si>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</si>
  <si>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</si>
  <si>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</si>
  <si>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</si>
  <si>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</si>
  <si>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</si>
  <si>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</si>
  <si>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</si>
  <si>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</si>
  <si>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</si>
  <si>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</si>
  <si>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</si>
  <si>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</si>
  <si>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</si>
  <si>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</si>
  <si>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</si>
  <si>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</si>
  <si>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</si>
  <si>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</si>
  <si>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</si>
  <si>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</si>
  <si>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</si>
  <si>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</si>
  <si>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</si>
  <si>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</si>
  <si>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</si>
  <si>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</si>
  <si>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</si>
  <si>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</si>
  <si>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</si>
  <si>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</si>
  <si>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</si>
  <si>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</si>
  <si>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</si>
  <si>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</si>
  <si>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</si>
  <si>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</si>
  <si>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</si>
  <si>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</si>
  <si>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</si>
  <si>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</si>
  <si>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</si>
  <si>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</si>
  <si>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</si>
  <si>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</si>
  <si>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</si>
  <si>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</si>
  <si>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</si>
  <si>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</si>
  <si>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</si>
  <si>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</si>
  <si>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 és más nyereségjellegű 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</si>
  <si>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</si>
  <si>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</si>
  <si>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</si>
  <si>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</si>
  <si>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</si>
  <si>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</si>
  <si>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</si>
  <si>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</si>
  <si>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</si>
  <si>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</si>
  <si>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</si>
  <si>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</si>
  <si>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</si>
  <si>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</si>
  <si>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</si>
  <si>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</si>
  <si>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</si>
  <si>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</si>
  <si>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</si>
  <si>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</si>
  <si>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</si>
  <si>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</si>
  <si>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</si>
  <si>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</si>
  <si>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</si>
  <si>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</si>
  <si>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</si>
  <si>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</si>
  <si>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</si>
  <si>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</si>
  <si>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</si>
  <si>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</si>
  <si>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</si>
  <si>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</si>
  <si>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</si>
  <si>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</si>
  <si>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</si>
  <si>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</si>
  <si>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</si>
  <si>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</si>
  <si>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</si>
  <si>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</si>
  <si>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</si>
  <si>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 és más nyereségjellegű 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</si>
  <si>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</si>
  <si>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</si>
  <si>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</si>
  <si>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</si>
  <si>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</si>
  <si>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</si>
  <si>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</si>
  <si>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</si>
  <si>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</si>
  <si>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</si>
  <si>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</si>
  <si>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</si>
  <si>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</si>
  <si>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</si>
  <si>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</si>
  <si>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</si>
  <si>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</si>
  <si>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D/II/8 Költségvetési évet követően esedékes követelések finanszírozási bevételekre (=D/II/8a+D/II/8b+D/II/8c+D/II/8d)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</si>
  <si>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</si>
  <si>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</si>
  <si>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</si>
  <si>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</si>
  <si>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</si>
  <si>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</si>
  <si>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</si>
  <si>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D/III/1b - ebből: beruházásokra, felújításokra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</si>
  <si>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</si>
  <si>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</si>
  <si>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</si>
  <si>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</si>
  <si>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</si>
  <si>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</si>
  <si>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</si>
  <si>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</si>
  <si>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</si>
  <si>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</si>
  <si>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D/III/8 Részesedésszerzés esetén átadott eszközök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</si>
  <si>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</si>
  <si>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</si>
  <si>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</si>
  <si>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</si>
  <si>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</si>
  <si>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</si>
  <si>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</si>
  <si>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</si>
  <si>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</si>
  <si>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</si>
  <si>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</si>
  <si>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</si>
  <si>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</si>
  <si>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</si>
  <si>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</si>
  <si>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</si>
  <si>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</si>
  <si>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</si>
  <si>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</si>
  <si>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</si>
  <si>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</si>
  <si>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</si>
  <si>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</si>
  <si>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</si>
  <si>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</si>
  <si>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</si>
  <si>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</si>
  <si>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</si>
  <si>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</si>
  <si>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</si>
  <si>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</si>
  <si>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</si>
  <si>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</si>
  <si>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</si>
  <si>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</si>
  <si>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</si>
  <si>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</si>
  <si>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</si>
  <si>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</si>
  <si>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</si>
  <si>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</si>
  <si>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</si>
  <si>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</si>
  <si>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</si>
  <si>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</si>
  <si>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</si>
  <si>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</si>
  <si>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</si>
  <si>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</si>
  <si>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</si>
  <si>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</si>
  <si>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</si>
  <si>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</si>
  <si>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</si>
  <si>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</si>
  <si>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</si>
  <si>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</si>
  <si>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</si>
  <si>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</si>
  <si>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</si>
  <si>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</si>
  <si>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</si>
  <si>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</si>
  <si>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</si>
  <si>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</si>
  <si>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 Költségvetési évet követően esedékes kötelezettségek finanszírozási kiadásokra (&gt;=H/II/9a+…+H/II/9j)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</si>
  <si>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</si>
  <si>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</si>
  <si>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</si>
  <si>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</si>
  <si>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</si>
  <si>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</si>
  <si>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</si>
  <si>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</si>
  <si>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</si>
  <si>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</si>
  <si>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 Költségvetési évet követően esedékes kötelezettségek (=H/II/1+…+H/II/9)</t>
  </si>
  <si>
    <t>H/III/1 Kapott előlegek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</si>
  <si>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</si>
  <si>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</si>
  <si>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</si>
  <si>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H/III/5 Nemzeti vagyonba tartozó befektetett eszközökkel kapcsolatos egyes kötelezettség jellegű sajátos elszámolások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</si>
  <si>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</si>
  <si>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</si>
  <si>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</si>
  <si>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</si>
  <si>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</si>
  <si>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</si>
  <si>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</si>
  <si>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</si>
  <si>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</si>
  <si>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</si>
  <si>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</si>
  <si>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nem lett elköltve</t>
  </si>
  <si>
    <t>kedvezőbb ár</t>
  </si>
  <si>
    <t>05</t>
  </si>
  <si>
    <t>06</t>
  </si>
  <si>
    <t>07</t>
  </si>
  <si>
    <t>08</t>
  </si>
  <si>
    <t>09</t>
  </si>
  <si>
    <t>10</t>
  </si>
  <si>
    <t>11</t>
  </si>
  <si>
    <t>A/III/1 Tartós részesedések (=A/III/1a+…+A/III/1f)</t>
  </si>
  <si>
    <t>12</t>
  </si>
  <si>
    <t>13</t>
  </si>
  <si>
    <t>14</t>
  </si>
  <si>
    <t>15</t>
  </si>
  <si>
    <t>16</t>
  </si>
  <si>
    <t>A/III/1e - ebből: egyéb tartós részesedések (kivéve befektetési jegyek)</t>
  </si>
  <si>
    <t>17</t>
  </si>
  <si>
    <t>A/III/1f - ebből: tartós befektetési jegyek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</si>
  <si>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</si>
  <si>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</si>
  <si>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</si>
  <si>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</si>
  <si>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</si>
  <si>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</si>
  <si>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</si>
  <si>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</si>
  <si>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</si>
  <si>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</si>
  <si>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</si>
  <si>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</si>
  <si>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</si>
  <si>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</si>
  <si>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</si>
  <si>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</si>
  <si>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</si>
  <si>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</si>
  <si>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</si>
  <si>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B/II/1 Nem tartós részesedések (=B/II/1a+B/II/1b)</t>
  </si>
  <si>
    <t>37</t>
  </si>
  <si>
    <t>B/II/1a - ebből: részesedések</t>
  </si>
  <si>
    <t>38</t>
  </si>
  <si>
    <t>B/II/1b - ebből: nem tartós befektetési jegyek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</si>
  <si>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</si>
  <si>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</si>
  <si>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</si>
  <si>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</si>
  <si>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</si>
  <si>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</si>
  <si>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</si>
  <si>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</si>
  <si>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</si>
  <si>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</si>
  <si>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</si>
  <si>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</si>
  <si>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</si>
  <si>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</si>
  <si>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</si>
  <si>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</si>
  <si>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</si>
  <si>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</si>
  <si>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</si>
  <si>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</si>
  <si>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</si>
  <si>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</si>
  <si>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</si>
  <si>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</si>
  <si>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</si>
  <si>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</si>
  <si>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</si>
  <si>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</si>
  <si>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</si>
  <si>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</si>
  <si>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</si>
  <si>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</si>
  <si>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</si>
  <si>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</si>
  <si>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</si>
  <si>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</si>
  <si>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</si>
  <si>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</si>
  <si>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</si>
  <si>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</si>
  <si>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</si>
  <si>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</si>
  <si>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</si>
  <si>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</si>
  <si>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</si>
  <si>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</si>
  <si>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</si>
  <si>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</si>
  <si>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</si>
  <si>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</si>
  <si>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</si>
  <si>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</si>
  <si>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</si>
  <si>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</si>
  <si>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</si>
  <si>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</si>
  <si>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</si>
  <si>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</si>
  <si>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</si>
  <si>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</si>
  <si>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</si>
  <si>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</si>
  <si>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</si>
  <si>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</si>
  <si>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</si>
  <si>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</si>
  <si>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</si>
  <si>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</si>
  <si>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</si>
  <si>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</si>
  <si>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</si>
  <si>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</si>
  <si>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</si>
  <si>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</si>
  <si>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</si>
  <si>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</si>
  <si>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</si>
  <si>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</si>
  <si>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</si>
  <si>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</si>
  <si>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</si>
  <si>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</si>
  <si>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</si>
  <si>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</si>
  <si>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</si>
  <si>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</si>
  <si>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</si>
  <si>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</si>
  <si>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</si>
  <si>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</si>
  <si>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</si>
  <si>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</si>
  <si>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</si>
  <si>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</si>
  <si>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</si>
  <si>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</si>
  <si>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</si>
  <si>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</si>
  <si>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</si>
  <si>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</si>
  <si>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</si>
  <si>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</si>
  <si>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</si>
  <si>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</si>
  <si>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</si>
  <si>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</si>
  <si>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</si>
  <si>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</si>
  <si>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</si>
  <si>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</si>
  <si>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</si>
  <si>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</si>
  <si>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</si>
  <si>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</si>
  <si>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</si>
  <si>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</si>
  <si>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</si>
  <si>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</si>
  <si>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</si>
  <si>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</si>
  <si>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</si>
  <si>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</si>
  <si>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</si>
  <si>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</si>
  <si>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</si>
  <si>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</si>
  <si>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</si>
  <si>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</si>
  <si>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</si>
  <si>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</si>
  <si>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</si>
  <si>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</si>
  <si>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</si>
  <si>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</si>
  <si>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</si>
  <si>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</si>
  <si>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</si>
  <si>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</si>
  <si>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</si>
  <si>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</si>
  <si>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</si>
  <si>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V. 26.</t>
  </si>
  <si>
    <t>7 melléklet a 3/2022.(V.26.) önkormányzati rendelethez</t>
  </si>
  <si>
    <t>8 melléklet a 3/2022.(V.26.) önkormányzati rendelethez</t>
  </si>
  <si>
    <t>14. melléklet a 3/2022.(V.26.) önkormányzati rendelethez</t>
  </si>
  <si>
    <t>15. melléklet a 3/2022.(V.26.) önkormányzati rendelethez</t>
  </si>
  <si>
    <t>16 melléklet a 3/2022.(V.26.) önkormányzati rendelethez</t>
  </si>
  <si>
    <t>18. melléklet a 3/2022.(V.26.) önkormányzati rendelethez</t>
  </si>
  <si>
    <t>19. melléklet a 3/2022.(V.26.) önkormányzati rendelethez</t>
  </si>
  <si>
    <t>31. melléklet a 3/2022.(V.26.)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</si>
</sst>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00"/>
    <numFmt numFmtId="175" formatCode="#,###__;\-#,###__"/>
    <numFmt numFmtId="176" formatCode="#,###\ _F_t;\-#,###\ _F_t"/>
    <numFmt numFmtId="177" formatCode="#,###__"/>
    <numFmt numFmtId="178" formatCode="_-* #,##0\ _F_t_-;\-* #,##0\ _F_t_-;_-* \-??\ _F_t_-;_-@_-"/>
  </numFmts>
  <fonts count="11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6.5"/>
      <name val="Times New Roman CE"/>
      <family val="0"/>
    </font>
    <font>
      <b/>
      <sz val="6.5"/>
      <name val="Times New Roman CE"/>
      <family val="0"/>
    </font>
    <font>
      <i/>
      <sz val="6.5"/>
      <name val="Times New Roman CE"/>
      <family val="0"/>
    </font>
    <font>
      <sz val="6"/>
      <name val="Times New Roman CE"/>
      <family val="0"/>
    </font>
    <font>
      <b/>
      <sz val="6"/>
      <name val="Times New Roman CE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10"/>
      <name val="Symbol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7"/>
      <name val="Times New Roman"/>
      <family val="1"/>
    </font>
    <font>
      <sz val="7"/>
      <name val="Times New Roman CE"/>
      <family val="0"/>
    </font>
    <font>
      <b/>
      <sz val="7"/>
      <name val="Times New Roman CE"/>
      <family val="0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7" fillId="26" borderId="1" applyNumberFormat="0" applyAlignment="0" applyProtection="0"/>
    <xf numFmtId="0" fontId="88" fillId="0" borderId="0" applyNumberFormat="0" applyFill="0" applyBorder="0" applyAlignment="0" applyProtection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0" fillId="28" borderId="7" applyNumberFormat="0" applyFont="0" applyAlignment="0" applyProtection="0"/>
    <xf numFmtId="0" fontId="96" fillId="29" borderId="0" applyNumberFormat="0" applyBorder="0" applyAlignment="0" applyProtection="0"/>
    <xf numFmtId="0" fontId="97" fillId="30" borderId="8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0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31" borderId="0" applyNumberFormat="0" applyBorder="0" applyAlignment="0" applyProtection="0"/>
    <xf numFmtId="0" fontId="102" fillId="32" borderId="0" applyNumberFormat="0" applyBorder="0" applyAlignment="0" applyProtection="0"/>
    <xf numFmtId="0" fontId="103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1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7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0" xfId="0" applyFont="1" applyFill="1" applyBorder="1" applyAlignment="1" applyProtection="1">
      <alignment horizontal="right"/>
      <protection/>
    </xf>
    <xf numFmtId="0" fontId="13" fillId="0" borderId="31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28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7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1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3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1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horizontal="center" vertical="center" wrapTex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7" xfId="60" applyFont="1" applyFill="1" applyBorder="1" applyAlignment="1" applyProtection="1">
      <alignment horizontal="left" vertical="center" wrapText="1" indent="1"/>
      <protection/>
    </xf>
    <xf numFmtId="0" fontId="12" fillId="0" borderId="31" xfId="60" applyFont="1" applyFill="1" applyBorder="1" applyAlignment="1" applyProtection="1">
      <alignment vertical="center" wrapText="1"/>
      <protection/>
    </xf>
    <xf numFmtId="0" fontId="13" fillId="0" borderId="28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6" fillId="0" borderId="50" xfId="60" applyFont="1" applyFill="1" applyBorder="1" applyAlignment="1" applyProtection="1">
      <alignment horizontal="center" vertical="center" wrapText="1"/>
      <protection/>
    </xf>
    <xf numFmtId="0" fontId="12" fillId="0" borderId="51" xfId="60" applyFont="1" applyFill="1" applyBorder="1" applyAlignment="1" applyProtection="1">
      <alignment horizontal="center" vertical="center" wrapText="1"/>
      <protection/>
    </xf>
    <xf numFmtId="164" fontId="12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2" xfId="60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2" fillId="0" borderId="42" xfId="0" applyNumberFormat="1" applyFont="1" applyFill="1" applyBorder="1" applyAlignment="1">
      <alignment horizontal="center" vertical="center"/>
    </xf>
    <xf numFmtId="164" fontId="12" fillId="0" borderId="42" xfId="0" applyNumberFormat="1" applyFont="1" applyFill="1" applyBorder="1" applyAlignment="1">
      <alignment horizontal="center" vertical="center" wrapText="1"/>
    </xf>
    <xf numFmtId="164" fontId="12" fillId="0" borderId="55" xfId="0" applyNumberFormat="1" applyFont="1" applyFill="1" applyBorder="1" applyAlignment="1">
      <alignment horizontal="center" vertical="center"/>
    </xf>
    <xf numFmtId="164" fontId="12" fillId="0" borderId="56" xfId="0" applyNumberFormat="1" applyFont="1" applyFill="1" applyBorder="1" applyAlignment="1">
      <alignment horizontal="center" vertical="center"/>
    </xf>
    <xf numFmtId="164" fontId="12" fillId="0" borderId="56" xfId="0" applyNumberFormat="1" applyFont="1" applyFill="1" applyBorder="1" applyAlignment="1">
      <alignment horizontal="center" vertical="center" wrapText="1"/>
    </xf>
    <xf numFmtId="49" fontId="13" fillId="0" borderId="57" xfId="0" applyNumberFormat="1" applyFont="1" applyFill="1" applyBorder="1" applyAlignment="1">
      <alignment horizontal="left" vertical="center"/>
    </xf>
    <xf numFmtId="3" fontId="13" fillId="0" borderId="58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59" xfId="0" applyNumberFormat="1" applyFont="1" applyFill="1" applyBorder="1" applyAlignment="1" quotePrefix="1">
      <alignment horizontal="left" vertical="center" indent="1"/>
    </xf>
    <xf numFmtId="49" fontId="13" fillId="0" borderId="59" xfId="0" applyNumberFormat="1" applyFont="1" applyFill="1" applyBorder="1" applyAlignment="1">
      <alignment horizontal="left" vertical="center"/>
    </xf>
    <xf numFmtId="49" fontId="13" fillId="0" borderId="60" xfId="0" applyNumberFormat="1" applyFont="1" applyFill="1" applyBorder="1" applyAlignment="1" applyProtection="1">
      <alignment horizontal="lef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62" xfId="0" applyNumberFormat="1" applyFont="1" applyFill="1" applyBorder="1" applyAlignment="1" applyProtection="1">
      <alignment horizontal="left" vertical="center" indent="1"/>
      <protection locked="0"/>
    </xf>
    <xf numFmtId="49" fontId="12" fillId="0" borderId="63" xfId="0" applyNumberFormat="1" applyFont="1" applyFill="1" applyBorder="1" applyAlignment="1" applyProtection="1">
      <alignment vertical="center"/>
      <protection locked="0"/>
    </xf>
    <xf numFmtId="49" fontId="12" fillId="0" borderId="63" xfId="0" applyNumberFormat="1" applyFont="1" applyFill="1" applyBorder="1" applyAlignment="1" applyProtection="1">
      <alignment horizontal="righ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0" xfId="0" applyNumberFormat="1" applyFont="1" applyFill="1" applyBorder="1" applyAlignment="1" applyProtection="1">
      <alignment vertical="center"/>
      <protection locked="0"/>
    </xf>
    <xf numFmtId="49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173" fontId="12" fillId="0" borderId="42" xfId="0" applyNumberFormat="1" applyFont="1" applyFill="1" applyBorder="1" applyAlignment="1">
      <alignment horizontal="left" vertical="center" wrapText="1" indent="1"/>
    </xf>
    <xf numFmtId="173" fontId="26" fillId="0" borderId="0" xfId="0" applyNumberFormat="1" applyFont="1" applyFill="1" applyBorder="1" applyAlignment="1">
      <alignment horizontal="left" vertical="center" wrapText="1"/>
    </xf>
    <xf numFmtId="164" fontId="12" fillId="0" borderId="42" xfId="0" applyNumberFormat="1" applyFont="1" applyFill="1" applyBorder="1" applyAlignment="1">
      <alignment horizontal="center" vertical="center" wrapText="1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4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2" xfId="0" applyNumberFormat="1" applyFont="1" applyFill="1" applyBorder="1" applyAlignment="1">
      <alignment horizontal="right" vertical="center" wrapText="1"/>
    </xf>
    <xf numFmtId="0" fontId="12" fillId="0" borderId="65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0" fontId="3" fillId="0" borderId="22" xfId="0" applyFont="1" applyBorder="1" applyAlignment="1">
      <alignment horizontal="left" vertical="center"/>
    </xf>
    <xf numFmtId="0" fontId="3" fillId="0" borderId="32" xfId="0" applyFont="1" applyBorder="1" applyAlignment="1">
      <alignment vertical="center" wrapText="1"/>
    </xf>
    <xf numFmtId="0" fontId="3" fillId="0" borderId="37" xfId="0" applyFont="1" applyBorder="1" applyAlignment="1">
      <alignment horizontal="left" vertical="center"/>
    </xf>
    <xf numFmtId="0" fontId="3" fillId="0" borderId="66" xfId="0" applyFont="1" applyBorder="1" applyAlignment="1">
      <alignment vertical="center" wrapText="1"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3" xfId="0" applyNumberFormat="1" applyFont="1" applyFill="1" applyBorder="1" applyAlignment="1" applyProtection="1">
      <alignment horizontal="right" vertical="center" wrapText="1" indent="1"/>
      <protection/>
    </xf>
    <xf numFmtId="3" fontId="28" fillId="0" borderId="67" xfId="0" applyNumberFormat="1" applyFont="1" applyFill="1" applyBorder="1" applyAlignment="1" applyProtection="1">
      <alignment horizontal="right" vertical="center"/>
      <protection locked="0"/>
    </xf>
    <xf numFmtId="3" fontId="28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58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58" xfId="0" applyNumberFormat="1" applyFont="1" applyFill="1" applyBorder="1" applyAlignment="1">
      <alignment horizontal="right" vertical="center" wrapText="1"/>
    </xf>
    <xf numFmtId="3" fontId="30" fillId="0" borderId="40" xfId="0" applyNumberFormat="1" applyFont="1" applyFill="1" applyBorder="1" applyAlignment="1" applyProtection="1">
      <alignment horizontal="right" vertical="center"/>
      <protection locked="0"/>
    </xf>
    <xf numFmtId="3" fontId="30" fillId="0" borderId="40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40" xfId="0" applyNumberFormat="1" applyFont="1" applyFill="1" applyBorder="1" applyAlignment="1">
      <alignment horizontal="right" vertical="center" wrapText="1"/>
    </xf>
    <xf numFmtId="4" fontId="29" fillId="0" borderId="40" xfId="0" applyNumberFormat="1" applyFont="1" applyFill="1" applyBorder="1" applyAlignment="1">
      <alignment horizontal="right" vertical="center" wrapText="1"/>
    </xf>
    <xf numFmtId="3" fontId="28" fillId="0" borderId="40" xfId="0" applyNumberFormat="1" applyFont="1" applyFill="1" applyBorder="1" applyAlignment="1" applyProtection="1">
      <alignment horizontal="right" vertical="center"/>
      <protection locked="0"/>
    </xf>
    <xf numFmtId="3" fontId="28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61" xfId="0" applyNumberFormat="1" applyFont="1" applyFill="1" applyBorder="1" applyAlignment="1" applyProtection="1">
      <alignment horizontal="right" vertical="center"/>
      <protection locked="0"/>
    </xf>
    <xf numFmtId="3" fontId="28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42" xfId="0" applyNumberFormat="1" applyFont="1" applyFill="1" applyBorder="1" applyAlignment="1">
      <alignment vertical="center"/>
    </xf>
    <xf numFmtId="4" fontId="28" fillId="0" borderId="42" xfId="0" applyNumberFormat="1" applyFont="1" applyFill="1" applyBorder="1" applyAlignment="1" applyProtection="1">
      <alignment vertical="center" wrapText="1"/>
      <protection locked="0"/>
    </xf>
    <xf numFmtId="3" fontId="31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67" xfId="0" applyNumberFormat="1" applyFont="1" applyFill="1" applyBorder="1" applyAlignment="1" applyProtection="1">
      <alignment horizontal="right" vertical="center"/>
      <protection locked="0"/>
    </xf>
    <xf numFmtId="3" fontId="31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58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42" xfId="0" applyNumberFormat="1" applyFont="1" applyFill="1" applyBorder="1" applyAlignment="1">
      <alignment vertical="center"/>
    </xf>
    <xf numFmtId="4" fontId="31" fillId="0" borderId="42" xfId="0" applyNumberFormat="1" applyFont="1" applyFill="1" applyBorder="1" applyAlignment="1" applyProtection="1">
      <alignment vertical="center" wrapText="1"/>
      <protection locked="0"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68" xfId="60" applyFont="1" applyFill="1" applyBorder="1" applyAlignment="1" applyProtection="1">
      <alignment horizontal="center" vertical="center" wrapText="1"/>
      <protection locked="0"/>
    </xf>
    <xf numFmtId="164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8" xfId="0" applyFont="1" applyBorder="1" applyAlignment="1" applyProtection="1">
      <alignment wrapTex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3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62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 quotePrefix="1">
      <alignment horizontal="right" vertical="center" indent="1"/>
      <protection locked="0"/>
    </xf>
    <xf numFmtId="49" fontId="6" fillId="0" borderId="42" xfId="0" applyNumberFormat="1" applyFont="1" applyFill="1" applyBorder="1" applyAlignment="1" applyProtection="1">
      <alignment horizontal="right" vertical="center" inden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4" fontId="8" fillId="0" borderId="0" xfId="0" applyNumberFormat="1" applyFont="1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69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6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 locked="0"/>
    </xf>
    <xf numFmtId="164" fontId="12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65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68" xfId="60" applyFont="1" applyFill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left" vertical="center" wrapText="1"/>
      <protection/>
    </xf>
    <xf numFmtId="164" fontId="13" fillId="34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0" xfId="60" applyNumberFormat="1" applyFont="1" applyFill="1" applyBorder="1" applyAlignment="1" applyProtection="1">
      <alignment/>
      <protection/>
    </xf>
    <xf numFmtId="0" fontId="12" fillId="0" borderId="33" xfId="60" applyFont="1" applyFill="1" applyBorder="1" applyAlignment="1" applyProtection="1">
      <alignment horizontal="center" vertical="center" wrapText="1"/>
      <protection/>
    </xf>
    <xf numFmtId="0" fontId="2" fillId="0" borderId="0" xfId="60" applyFill="1" applyAlignment="1" applyProtection="1">
      <alignment horizontal="left" vertical="center" indent="1"/>
      <protection/>
    </xf>
    <xf numFmtId="164" fontId="19" fillId="0" borderId="0" xfId="0" applyNumberFormat="1" applyFont="1" applyFill="1" applyAlignment="1">
      <alignment vertical="center"/>
    </xf>
    <xf numFmtId="164" fontId="19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right" vertical="center" wrapText="1" indent="1"/>
    </xf>
    <xf numFmtId="164" fontId="12" fillId="0" borderId="42" xfId="0" applyNumberFormat="1" applyFont="1" applyFill="1" applyBorder="1" applyAlignment="1">
      <alignment horizontal="left" vertical="center" wrapText="1" indent="1"/>
    </xf>
    <xf numFmtId="164" fontId="0" fillId="33" borderId="42" xfId="0" applyNumberFormat="1" applyFont="1" applyFill="1" applyBorder="1" applyAlignment="1">
      <alignment horizontal="left" vertical="center" wrapText="1" indent="2"/>
    </xf>
    <xf numFmtId="164" fontId="0" fillId="33" borderId="32" xfId="0" applyNumberFormat="1" applyFont="1" applyFill="1" applyBorder="1" applyAlignment="1">
      <alignment horizontal="left" vertical="center" wrapText="1" indent="2"/>
    </xf>
    <xf numFmtId="164" fontId="12" fillId="0" borderId="22" xfId="0" applyNumberFormat="1" applyFont="1" applyFill="1" applyBorder="1" applyAlignment="1">
      <alignment vertical="center" wrapText="1"/>
    </xf>
    <xf numFmtId="164" fontId="12" fillId="0" borderId="23" xfId="0" applyNumberFormat="1" applyFont="1" applyFill="1" applyBorder="1" applyAlignment="1">
      <alignment vertical="center" wrapText="1"/>
    </xf>
    <xf numFmtId="164" fontId="12" fillId="0" borderId="26" xfId="0" applyNumberFormat="1" applyFont="1" applyFill="1" applyBorder="1" applyAlignment="1">
      <alignment vertical="center" wrapText="1"/>
    </xf>
    <xf numFmtId="164" fontId="12" fillId="0" borderId="17" xfId="0" applyNumberFormat="1" applyFont="1" applyFill="1" applyBorder="1" applyAlignment="1">
      <alignment horizontal="right" vertical="center" wrapText="1" indent="1"/>
    </xf>
    <xf numFmtId="164" fontId="13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 locked="0"/>
    </xf>
    <xf numFmtId="164" fontId="0" fillId="33" borderId="42" xfId="0" applyNumberFormat="1" applyFont="1" applyFill="1" applyBorder="1" applyAlignment="1">
      <alignment horizontal="right" vertical="center" wrapText="1" indent="2"/>
    </xf>
    <xf numFmtId="164" fontId="0" fillId="33" borderId="32" xfId="0" applyNumberFormat="1" applyFont="1" applyFill="1" applyBorder="1" applyAlignment="1">
      <alignment horizontal="right" vertical="center" wrapText="1" indent="2"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29" xfId="0" applyFont="1" applyFill="1" applyBorder="1" applyAlignment="1" applyProtection="1">
      <alignment horizontal="left" vertical="center" wrapText="1" indent="1"/>
      <protection locked="0"/>
    </xf>
    <xf numFmtId="3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14" xfId="0" applyFont="1" applyFill="1" applyBorder="1" applyAlignment="1" applyProtection="1">
      <alignment horizontal="left" vertical="center" wrapText="1" indent="1"/>
      <protection locked="0"/>
    </xf>
    <xf numFmtId="3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right" vertical="center" wrapText="1" indent="1"/>
    </xf>
    <xf numFmtId="0" fontId="16" fillId="0" borderId="14" xfId="0" applyFont="1" applyFill="1" applyBorder="1" applyAlignment="1" applyProtection="1">
      <alignment horizontal="left" vertical="center" wrapText="1" indent="8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>
      <alignment horizontal="right" vertical="center" wrapText="1" indent="1"/>
    </xf>
    <xf numFmtId="0" fontId="13" fillId="0" borderId="28" xfId="0" applyFont="1" applyFill="1" applyBorder="1" applyAlignment="1" applyProtection="1">
      <alignment vertical="center" wrapText="1"/>
      <protection locked="0"/>
    </xf>
    <xf numFmtId="3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3" fillId="0" borderId="20" xfId="0" applyFont="1" applyFill="1" applyBorder="1" applyAlignment="1">
      <alignment horizontal="right" vertical="center" indent="1"/>
    </xf>
    <xf numFmtId="0" fontId="13" fillId="0" borderId="17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0" fontId="0" fillId="0" borderId="23" xfId="0" applyFill="1" applyBorder="1" applyAlignment="1">
      <alignment vertical="center"/>
    </xf>
    <xf numFmtId="164" fontId="12" fillId="0" borderId="23" xfId="0" applyNumberFormat="1" applyFont="1" applyFill="1" applyBorder="1" applyAlignment="1">
      <alignment vertical="center" wrapText="1"/>
    </xf>
    <xf numFmtId="164" fontId="12" fillId="0" borderId="26" xfId="0" applyNumberFormat="1" applyFont="1" applyFill="1" applyBorder="1" applyAlignment="1">
      <alignment vertical="center" wrapText="1"/>
    </xf>
    <xf numFmtId="0" fontId="25" fillId="0" borderId="0" xfId="63" applyFill="1" applyProtection="1">
      <alignment/>
      <protection/>
    </xf>
    <xf numFmtId="0" fontId="25" fillId="0" borderId="0" xfId="63" applyFill="1" applyAlignment="1" applyProtection="1">
      <alignment horizontal="center" vertical="center"/>
      <protection/>
    </xf>
    <xf numFmtId="0" fontId="25" fillId="0" borderId="0" xfId="63" applyFill="1" applyAlignment="1" applyProtection="1">
      <alignment vertical="center"/>
      <protection/>
    </xf>
    <xf numFmtId="3" fontId="25" fillId="0" borderId="0" xfId="63" applyNumberFormat="1" applyFont="1" applyFill="1" applyProtection="1">
      <alignment/>
      <protection/>
    </xf>
    <xf numFmtId="0" fontId="0" fillId="0" borderId="0" xfId="62" applyFill="1" applyAlignment="1" applyProtection="1">
      <alignment vertical="center"/>
      <protection/>
    </xf>
    <xf numFmtId="0" fontId="0" fillId="0" borderId="0" xfId="62" applyFill="1" applyAlignment="1" applyProtection="1">
      <alignment vertical="center" wrapText="1"/>
      <protection/>
    </xf>
    <xf numFmtId="0" fontId="0" fillId="0" borderId="0" xfId="62" applyFill="1" applyAlignment="1" applyProtection="1">
      <alignment horizontal="center" vertical="center"/>
      <protection/>
    </xf>
    <xf numFmtId="49" fontId="0" fillId="0" borderId="0" xfId="62" applyNumberFormat="1" applyFont="1" applyFill="1" applyAlignment="1" applyProtection="1">
      <alignment horizontal="center" vertical="center"/>
      <protection/>
    </xf>
    <xf numFmtId="0" fontId="0" fillId="0" borderId="0" xfId="62" applyFont="1" applyFill="1" applyAlignment="1" applyProtection="1">
      <alignment vertical="center"/>
      <protection/>
    </xf>
    <xf numFmtId="0" fontId="25" fillId="0" borderId="0" xfId="63" applyFont="1" applyFill="1" applyAlignment="1" applyProtection="1">
      <alignment/>
      <protection/>
    </xf>
    <xf numFmtId="0" fontId="25" fillId="0" borderId="0" xfId="63" applyFill="1">
      <alignment/>
      <protection/>
    </xf>
    <xf numFmtId="0" fontId="15" fillId="0" borderId="24" xfId="63" applyFont="1" applyFill="1" applyBorder="1" applyAlignment="1">
      <alignment horizontal="center" vertical="center"/>
      <protection/>
    </xf>
    <xf numFmtId="0" fontId="20" fillId="0" borderId="25" xfId="62" applyFont="1" applyFill="1" applyBorder="1" applyAlignment="1" applyProtection="1">
      <alignment horizontal="center" vertical="center" textRotation="90"/>
      <protection/>
    </xf>
    <xf numFmtId="0" fontId="15" fillId="0" borderId="71" xfId="63" applyFont="1" applyFill="1" applyBorder="1" applyAlignment="1">
      <alignment horizontal="center" vertical="center" wrapText="1"/>
      <protection/>
    </xf>
    <xf numFmtId="0" fontId="15" fillId="0" borderId="22" xfId="63" applyFont="1" applyFill="1" applyBorder="1" applyAlignment="1">
      <alignment horizontal="center" vertical="center"/>
      <protection/>
    </xf>
    <xf numFmtId="0" fontId="15" fillId="0" borderId="23" xfId="63" applyFont="1" applyFill="1" applyBorder="1" applyAlignment="1">
      <alignment horizontal="center" vertical="center" wrapText="1"/>
      <protection/>
    </xf>
    <xf numFmtId="0" fontId="15" fillId="0" borderId="26" xfId="63" applyFont="1" applyFill="1" applyBorder="1" applyAlignment="1">
      <alignment horizontal="center" vertical="center" wrapText="1"/>
      <protection/>
    </xf>
    <xf numFmtId="0" fontId="16" fillId="0" borderId="17" xfId="63" applyFont="1" applyFill="1" applyBorder="1" applyProtection="1">
      <alignment/>
      <protection locked="0"/>
    </xf>
    <xf numFmtId="0" fontId="16" fillId="0" borderId="12" xfId="63" applyFont="1" applyFill="1" applyBorder="1" applyAlignment="1">
      <alignment horizontal="right" indent="1"/>
      <protection/>
    </xf>
    <xf numFmtId="3" fontId="16" fillId="0" borderId="70" xfId="63" applyNumberFormat="1" applyFont="1" applyFill="1" applyBorder="1" applyProtection="1">
      <alignment/>
      <protection locked="0"/>
    </xf>
    <xf numFmtId="3" fontId="16" fillId="0" borderId="27" xfId="63" applyNumberFormat="1" applyFont="1" applyFill="1" applyBorder="1" applyProtection="1">
      <alignment/>
      <protection locked="0"/>
    </xf>
    <xf numFmtId="0" fontId="16" fillId="0" borderId="19" xfId="63" applyFont="1" applyFill="1" applyBorder="1" applyProtection="1">
      <alignment/>
      <protection locked="0"/>
    </xf>
    <xf numFmtId="3" fontId="16" fillId="0" borderId="72" xfId="63" applyNumberFormat="1" applyFont="1" applyFill="1" applyBorder="1" applyProtection="1">
      <alignment/>
      <protection locked="0"/>
    </xf>
    <xf numFmtId="0" fontId="17" fillId="0" borderId="22" xfId="63" applyFont="1" applyFill="1" applyBorder="1" applyProtection="1">
      <alignment/>
      <protection locked="0"/>
    </xf>
    <xf numFmtId="0" fontId="16" fillId="0" borderId="23" xfId="63" applyFont="1" applyFill="1" applyBorder="1" applyAlignment="1">
      <alignment horizontal="right" indent="1"/>
      <protection/>
    </xf>
    <xf numFmtId="176" fontId="12" fillId="0" borderId="26" xfId="62" applyNumberFormat="1" applyFont="1" applyFill="1" applyBorder="1" applyAlignment="1" applyProtection="1">
      <alignment vertical="center"/>
      <protection/>
    </xf>
    <xf numFmtId="0" fontId="16" fillId="0" borderId="18" xfId="63" applyFont="1" applyFill="1" applyBorder="1" applyProtection="1">
      <alignment/>
      <protection locked="0"/>
    </xf>
    <xf numFmtId="0" fontId="37" fillId="0" borderId="0" xfId="63" applyFont="1" applyFill="1">
      <alignment/>
      <protection/>
    </xf>
    <xf numFmtId="0" fontId="27" fillId="0" borderId="0" xfId="63" applyFont="1" applyFill="1">
      <alignment/>
      <protection/>
    </xf>
    <xf numFmtId="0" fontId="25" fillId="0" borderId="0" xfId="63" applyFont="1" applyFill="1">
      <alignment/>
      <protection/>
    </xf>
    <xf numFmtId="0" fontId="25" fillId="0" borderId="0" xfId="63" applyFont="1" applyFill="1" applyAlignment="1">
      <alignment/>
      <protection/>
    </xf>
    <xf numFmtId="0" fontId="34" fillId="0" borderId="0" xfId="63" applyFont="1" applyFill="1" applyAlignment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166" fontId="40" fillId="0" borderId="70" xfId="48" applyNumberFormat="1" applyFont="1" applyBorder="1" applyAlignment="1" applyProtection="1">
      <alignment horizontal="center" vertical="top" wrapText="1"/>
      <protection locked="0"/>
    </xf>
    <xf numFmtId="0" fontId="38" fillId="35" borderId="23" xfId="0" applyFont="1" applyFill="1" applyBorder="1" applyAlignment="1" applyProtection="1">
      <alignment horizontal="center" vertical="top" wrapText="1"/>
      <protection/>
    </xf>
    <xf numFmtId="166" fontId="40" fillId="0" borderId="23" xfId="48" applyNumberFormat="1" applyFont="1" applyBorder="1" applyAlignment="1" applyProtection="1">
      <alignment horizontal="center" vertical="center" wrapText="1"/>
      <protection/>
    </xf>
    <xf numFmtId="166" fontId="40" fillId="0" borderId="26" xfId="48" applyNumberFormat="1" applyFont="1" applyBorder="1" applyAlignment="1" applyProtection="1">
      <alignment horizontal="center" vertical="top" wrapText="1"/>
      <protection/>
    </xf>
    <xf numFmtId="0" fontId="19" fillId="0" borderId="0" xfId="0" applyFont="1" applyFill="1" applyAlignment="1">
      <alignment horizontal="center"/>
    </xf>
    <xf numFmtId="0" fontId="41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 indent="5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42" fillId="0" borderId="28" xfId="0" applyFont="1" applyFill="1" applyBorder="1" applyAlignment="1">
      <alignment horizontal="left" vertical="center" indent="5"/>
    </xf>
    <xf numFmtId="164" fontId="20" fillId="0" borderId="30" xfId="60" applyNumberFormat="1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horizontal="right" vertical="center"/>
      <protection locked="0"/>
    </xf>
    <xf numFmtId="0" fontId="6" fillId="0" borderId="28" xfId="60" applyFont="1" applyFill="1" applyBorder="1" applyAlignment="1" applyProtection="1">
      <alignment horizontal="center" vertical="center" wrapText="1"/>
      <protection locked="0"/>
    </xf>
    <xf numFmtId="0" fontId="12" fillId="0" borderId="26" xfId="60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73" xfId="0" applyNumberFormat="1" applyFont="1" applyFill="1" applyBorder="1" applyAlignment="1" applyProtection="1">
      <alignment horizontal="center" vertical="center"/>
      <protection locked="0"/>
    </xf>
    <xf numFmtId="164" fontId="6" fillId="0" borderId="28" xfId="0" applyNumberFormat="1" applyFont="1" applyFill="1" applyBorder="1" applyAlignment="1" applyProtection="1">
      <alignment horizontal="center" vertical="center"/>
      <protection locked="0"/>
    </xf>
    <xf numFmtId="164" fontId="6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32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25" fillId="0" borderId="0" xfId="63" applyFill="1" applyProtection="1">
      <alignment/>
      <protection locked="0"/>
    </xf>
    <xf numFmtId="0" fontId="0" fillId="0" borderId="0" xfId="62" applyFill="1" applyAlignment="1" applyProtection="1">
      <alignment vertical="center" wrapText="1"/>
      <protection locked="0"/>
    </xf>
    <xf numFmtId="0" fontId="0" fillId="0" borderId="0" xfId="62" applyFill="1" applyAlignment="1" applyProtection="1">
      <alignment vertical="center"/>
      <protection locked="0"/>
    </xf>
    <xf numFmtId="0" fontId="25" fillId="0" borderId="0" xfId="63" applyFill="1" applyAlignment="1">
      <alignment/>
      <protection/>
    </xf>
    <xf numFmtId="0" fontId="43" fillId="0" borderId="18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0" fontId="38" fillId="0" borderId="26" xfId="0" applyFont="1" applyBorder="1" applyAlignment="1" applyProtection="1">
      <alignment horizontal="center" vertical="center" wrapText="1"/>
      <protection locked="0"/>
    </xf>
    <xf numFmtId="177" fontId="0" fillId="0" borderId="27" xfId="0" applyNumberFormat="1" applyFont="1" applyFill="1" applyBorder="1" applyAlignment="1" applyProtection="1">
      <alignment horizontal="right" vertical="center"/>
      <protection locked="0"/>
    </xf>
    <xf numFmtId="177" fontId="0" fillId="0" borderId="72" xfId="0" applyNumberFormat="1" applyFont="1" applyFill="1" applyBorder="1" applyAlignment="1" applyProtection="1">
      <alignment horizontal="right" vertical="center"/>
      <protection locked="0"/>
    </xf>
    <xf numFmtId="177" fontId="0" fillId="0" borderId="68" xfId="0" applyNumberFormat="1" applyFont="1" applyFill="1" applyBorder="1" applyAlignment="1" applyProtection="1">
      <alignment horizontal="right" vertical="center"/>
      <protection locked="0"/>
    </xf>
    <xf numFmtId="177" fontId="3" fillId="0" borderId="44" xfId="0" applyNumberFormat="1" applyFont="1" applyFill="1" applyBorder="1" applyAlignment="1" applyProtection="1">
      <alignment horizontal="right" vertical="center"/>
      <protection/>
    </xf>
    <xf numFmtId="0" fontId="104" fillId="0" borderId="0" xfId="0" applyFont="1" applyAlignment="1">
      <alignment/>
    </xf>
    <xf numFmtId="0" fontId="104" fillId="0" borderId="0" xfId="0" applyFont="1" applyAlignment="1">
      <alignment horizontal="justify" vertical="top" wrapText="1"/>
    </xf>
    <xf numFmtId="0" fontId="105" fillId="36" borderId="0" xfId="0" applyFont="1" applyFill="1" applyAlignment="1">
      <alignment horizontal="center" vertical="center"/>
    </xf>
    <xf numFmtId="0" fontId="105" fillId="36" borderId="0" xfId="0" applyFont="1" applyFill="1" applyAlignment="1">
      <alignment horizontal="center" vertical="top" wrapText="1"/>
    </xf>
    <xf numFmtId="0" fontId="44" fillId="0" borderId="0" xfId="0" applyFont="1" applyAlignment="1">
      <alignment/>
    </xf>
    <xf numFmtId="0" fontId="94" fillId="0" borderId="0" xfId="52" applyAlignment="1" applyProtection="1">
      <alignment/>
      <protection/>
    </xf>
    <xf numFmtId="0" fontId="0" fillId="0" borderId="0" xfId="0" applyAlignment="1">
      <alignment horizontal="right"/>
    </xf>
    <xf numFmtId="164" fontId="106" fillId="0" borderId="0" xfId="0" applyNumberFormat="1" applyFont="1" applyFill="1" applyAlignment="1" applyProtection="1">
      <alignment horizontal="right" vertical="center" wrapText="1" indent="1"/>
      <protection/>
    </xf>
    <xf numFmtId="164" fontId="107" fillId="0" borderId="0" xfId="60" applyNumberFormat="1" applyFont="1" applyFill="1" applyAlignment="1" applyProtection="1">
      <alignment horizontal="right" vertical="center" indent="1"/>
      <protection/>
    </xf>
    <xf numFmtId="0" fontId="33" fillId="0" borderId="0" xfId="0" applyFont="1" applyAlignment="1" applyProtection="1">
      <alignment horizontal="right" vertical="top"/>
      <protection locked="0"/>
    </xf>
    <xf numFmtId="0" fontId="46" fillId="0" borderId="0" xfId="0" applyFont="1" applyFill="1" applyBorder="1" applyAlignment="1" applyProtection="1">
      <alignment horizontal="right"/>
      <protection/>
    </xf>
    <xf numFmtId="0" fontId="3" fillId="0" borderId="42" xfId="0" applyFont="1" applyFill="1" applyBorder="1" applyAlignment="1">
      <alignment horizontal="center" vertical="center" wrapText="1"/>
    </xf>
    <xf numFmtId="0" fontId="15" fillId="0" borderId="74" xfId="0" applyFont="1" applyFill="1" applyBorder="1" applyAlignment="1" applyProtection="1">
      <alignment horizontal="center" vertical="center" wrapText="1"/>
      <protection/>
    </xf>
    <xf numFmtId="0" fontId="15" fillId="0" borderId="67" xfId="0" applyFont="1" applyFill="1" applyBorder="1" applyAlignment="1" applyProtection="1">
      <alignment horizontal="center"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2" fillId="0" borderId="42" xfId="0" applyFont="1" applyFill="1" applyBorder="1" applyAlignment="1">
      <alignment horizontal="center" vertical="center"/>
    </xf>
    <xf numFmtId="0" fontId="17" fillId="0" borderId="62" xfId="0" applyFont="1" applyFill="1" applyBorder="1" applyAlignment="1" applyProtection="1">
      <alignment horizontal="center" vertical="center" wrapText="1"/>
      <protection/>
    </xf>
    <xf numFmtId="0" fontId="17" fillId="0" borderId="42" xfId="0" applyFont="1" applyFill="1" applyBorder="1" applyAlignment="1" applyProtection="1">
      <alignment horizontal="center" vertical="center" wrapText="1"/>
      <protection/>
    </xf>
    <xf numFmtId="0" fontId="17" fillId="0" borderId="3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16" fillId="0" borderId="75" xfId="0" applyFont="1" applyFill="1" applyBorder="1" applyAlignment="1" applyProtection="1">
      <alignment horizontal="left" vertical="center" wrapText="1"/>
      <protection locked="0"/>
    </xf>
    <xf numFmtId="164" fontId="16" fillId="0" borderId="7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7" xfId="0" applyFill="1" applyBorder="1" applyAlignment="1">
      <alignment/>
    </xf>
    <xf numFmtId="0" fontId="16" fillId="0" borderId="78" xfId="0" applyFont="1" applyFill="1" applyBorder="1" applyAlignment="1" applyProtection="1">
      <alignment horizontal="left" vertical="center" wrapText="1"/>
      <protection locked="0"/>
    </xf>
    <xf numFmtId="0" fontId="0" fillId="0" borderId="42" xfId="0" applyFill="1" applyBorder="1" applyAlignment="1" applyProtection="1">
      <alignment vertical="center"/>
      <protection/>
    </xf>
    <xf numFmtId="0" fontId="15" fillId="0" borderId="62" xfId="0" applyFont="1" applyFill="1" applyBorder="1" applyAlignment="1" applyProtection="1">
      <alignment vertical="center" wrapText="1"/>
      <protection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70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0" fillId="37" borderId="0" xfId="0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7" fontId="3" fillId="0" borderId="70" xfId="0" applyNumberFormat="1" applyFont="1" applyFill="1" applyBorder="1" applyAlignment="1" applyProtection="1">
      <alignment horizontal="right" vertical="center"/>
      <protection locked="0"/>
    </xf>
    <xf numFmtId="164" fontId="13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3" fontId="25" fillId="0" borderId="0" xfId="63" applyNumberFormat="1" applyFont="1" applyFill="1" applyAlignment="1">
      <alignment horizontal="center"/>
      <protection/>
    </xf>
    <xf numFmtId="0" fontId="13" fillId="0" borderId="79" xfId="0" applyFont="1" applyFill="1" applyBorder="1" applyAlignment="1" applyProtection="1">
      <alignment horizontal="left" vertical="center" wrapText="1"/>
      <protection locked="0"/>
    </xf>
    <xf numFmtId="0" fontId="13" fillId="0" borderId="8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wrapText="1"/>
      <protection locked="0"/>
    </xf>
    <xf numFmtId="3" fontId="49" fillId="0" borderId="80" xfId="61" applyNumberFormat="1" applyFont="1" applyFill="1" applyBorder="1" applyAlignment="1">
      <alignment horizontal="right"/>
      <protection/>
    </xf>
    <xf numFmtId="3" fontId="49" fillId="0" borderId="80" xfId="61" applyNumberFormat="1" applyFont="1" applyFill="1" applyBorder="1">
      <alignment/>
      <protection/>
    </xf>
    <xf numFmtId="3" fontId="50" fillId="0" borderId="80" xfId="61" applyNumberFormat="1" applyFont="1" applyFill="1" applyBorder="1" applyAlignment="1">
      <alignment horizontal="right"/>
      <protection/>
    </xf>
    <xf numFmtId="3" fontId="50" fillId="0" borderId="80" xfId="61" applyNumberFormat="1" applyFont="1" applyFill="1" applyBorder="1">
      <alignment/>
      <protection/>
    </xf>
    <xf numFmtId="3" fontId="50" fillId="0" borderId="80" xfId="61" applyNumberFormat="1" applyFont="1" applyFill="1" applyBorder="1" applyAlignment="1">
      <alignment horizontal="right"/>
      <protection/>
    </xf>
    <xf numFmtId="3" fontId="50" fillId="0" borderId="80" xfId="61" applyNumberFormat="1" applyFont="1" applyFill="1" applyBorder="1">
      <alignment/>
      <protection/>
    </xf>
    <xf numFmtId="3" fontId="49" fillId="0" borderId="80" xfId="61" applyNumberFormat="1" applyFont="1" applyFill="1" applyBorder="1" applyAlignment="1">
      <alignment/>
      <protection/>
    </xf>
    <xf numFmtId="3" fontId="50" fillId="0" borderId="80" xfId="61" applyNumberFormat="1" applyFont="1" applyFill="1" applyBorder="1" applyAlignment="1">
      <alignment wrapText="1"/>
      <protection/>
    </xf>
    <xf numFmtId="3" fontId="51" fillId="0" borderId="80" xfId="61" applyNumberFormat="1" applyFont="1" applyFill="1" applyBorder="1">
      <alignment/>
      <protection/>
    </xf>
    <xf numFmtId="3" fontId="49" fillId="0" borderId="81" xfId="61" applyNumberFormat="1" applyFont="1" applyFill="1" applyBorder="1">
      <alignment/>
      <protection/>
    </xf>
    <xf numFmtId="3" fontId="49" fillId="0" borderId="11" xfId="0" applyNumberFormat="1" applyFont="1" applyFill="1" applyBorder="1" applyAlignment="1">
      <alignment/>
    </xf>
    <xf numFmtId="3" fontId="52" fillId="0" borderId="81" xfId="61" applyNumberFormat="1" applyFont="1" applyFill="1" applyBorder="1">
      <alignment/>
      <protection/>
    </xf>
    <xf numFmtId="3" fontId="50" fillId="0" borderId="11" xfId="0" applyNumberFormat="1" applyFont="1" applyFill="1" applyBorder="1" applyAlignment="1">
      <alignment/>
    </xf>
    <xf numFmtId="3" fontId="49" fillId="0" borderId="0" xfId="0" applyNumberFormat="1" applyFont="1" applyFill="1" applyAlignment="1">
      <alignment/>
    </xf>
    <xf numFmtId="3" fontId="49" fillId="0" borderId="79" xfId="61" applyNumberFormat="1" applyFont="1" applyFill="1" applyBorder="1">
      <alignment/>
      <protection/>
    </xf>
    <xf numFmtId="3" fontId="50" fillId="0" borderId="80" xfId="61" applyNumberFormat="1" applyFont="1" applyFill="1" applyBorder="1" applyAlignment="1">
      <alignment horizontal="left" vertical="center" wrapText="1"/>
      <protection/>
    </xf>
    <xf numFmtId="3" fontId="53" fillId="0" borderId="11" xfId="0" applyNumberFormat="1" applyFont="1" applyBorder="1" applyAlignment="1">
      <alignment/>
    </xf>
    <xf numFmtId="3" fontId="52" fillId="0" borderId="11" xfId="61" applyNumberFormat="1" applyFont="1" applyFill="1" applyBorder="1">
      <alignment/>
      <protection/>
    </xf>
    <xf numFmtId="3" fontId="52" fillId="0" borderId="11" xfId="0" applyNumberFormat="1" applyFont="1" applyFill="1" applyBorder="1" applyAlignment="1">
      <alignment/>
    </xf>
    <xf numFmtId="3" fontId="52" fillId="0" borderId="11" xfId="0" applyNumberFormat="1" applyFont="1" applyBorder="1" applyAlignment="1">
      <alignment/>
    </xf>
    <xf numFmtId="3" fontId="52" fillId="0" borderId="11" xfId="0" applyNumberFormat="1" applyFont="1" applyFill="1" applyBorder="1" applyAlignment="1">
      <alignment/>
    </xf>
    <xf numFmtId="3" fontId="49" fillId="0" borderId="11" xfId="0" applyNumberFormat="1" applyFont="1" applyBorder="1" applyAlignment="1">
      <alignment/>
    </xf>
    <xf numFmtId="0" fontId="12" fillId="0" borderId="52" xfId="60" applyFont="1" applyFill="1" applyBorder="1" applyAlignment="1" applyProtection="1">
      <alignment horizontal="center" vertical="center" wrapText="1"/>
      <protection locked="0"/>
    </xf>
    <xf numFmtId="0" fontId="12" fillId="0" borderId="32" xfId="60" applyFont="1" applyFill="1" applyBorder="1" applyAlignment="1" applyProtection="1">
      <alignment horizontal="center" vertical="center" wrapText="1"/>
      <protection locked="0"/>
    </xf>
    <xf numFmtId="0" fontId="6" fillId="0" borderId="15" xfId="60" applyFont="1" applyFill="1" applyBorder="1" applyAlignment="1" applyProtection="1">
      <alignment horizontal="center" vertical="center" wrapText="1"/>
      <protection locked="0"/>
    </xf>
    <xf numFmtId="0" fontId="12" fillId="0" borderId="42" xfId="60" applyFont="1" applyFill="1" applyBorder="1" applyAlignment="1" applyProtection="1">
      <alignment horizontal="center" vertical="center" wrapText="1"/>
      <protection locked="0"/>
    </xf>
    <xf numFmtId="165" fontId="0" fillId="0" borderId="8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80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83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84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1" xfId="0" applyNumberFormat="1" applyFont="1" applyFill="1" applyBorder="1" applyAlignment="1">
      <alignment vertical="center" wrapText="1"/>
    </xf>
    <xf numFmtId="164" fontId="12" fillId="0" borderId="11" xfId="0" applyNumberFormat="1" applyFont="1" applyFill="1" applyBorder="1" applyAlignment="1">
      <alignment vertical="center" wrapText="1"/>
    </xf>
    <xf numFmtId="164" fontId="13" fillId="0" borderId="12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vertical="center" wrapText="1"/>
    </xf>
    <xf numFmtId="164" fontId="12" fillId="0" borderId="42" xfId="0" applyNumberFormat="1" applyFont="1" applyFill="1" applyBorder="1" applyAlignment="1">
      <alignment vertical="center" wrapText="1"/>
    </xf>
    <xf numFmtId="164" fontId="13" fillId="0" borderId="29" xfId="0" applyNumberFormat="1" applyFont="1" applyFill="1" applyBorder="1" applyAlignment="1">
      <alignment vertical="center" wrapText="1"/>
    </xf>
    <xf numFmtId="164" fontId="13" fillId="0" borderId="14" xfId="0" applyNumberFormat="1" applyFont="1" applyFill="1" applyBorder="1" applyAlignment="1">
      <alignment vertical="center" wrapText="1"/>
    </xf>
    <xf numFmtId="165" fontId="0" fillId="0" borderId="85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44" xfId="0" applyNumberFormat="1" applyFont="1" applyFill="1" applyBorder="1" applyAlignment="1">
      <alignment vertical="center" wrapText="1"/>
    </xf>
    <xf numFmtId="164" fontId="12" fillId="0" borderId="27" xfId="0" applyNumberFormat="1" applyFont="1" applyFill="1" applyBorder="1" applyAlignment="1">
      <alignment vertical="center" wrapText="1"/>
    </xf>
    <xf numFmtId="3" fontId="25" fillId="38" borderId="11" xfId="0" applyNumberFormat="1" applyFont="1" applyFill="1" applyBorder="1" applyAlignment="1">
      <alignment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3" fontId="25" fillId="38" borderId="12" xfId="0" applyNumberFormat="1" applyFont="1" applyFill="1" applyBorder="1" applyAlignment="1">
      <alignment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3" fontId="2" fillId="0" borderId="27" xfId="0" applyNumberFormat="1" applyFont="1" applyFill="1" applyBorder="1" applyAlignment="1" applyProtection="1">
      <alignment horizontal="right" vertical="center"/>
      <protection locked="0"/>
    </xf>
    <xf numFmtId="3" fontId="31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26" xfId="63" applyNumberFormat="1" applyFont="1" applyFill="1" applyBorder="1" applyProtection="1">
      <alignment/>
      <protection locked="0"/>
    </xf>
    <xf numFmtId="0" fontId="17" fillId="0" borderId="62" xfId="63" applyFont="1" applyFill="1" applyBorder="1" applyProtection="1">
      <alignment/>
      <protection locked="0"/>
    </xf>
    <xf numFmtId="176" fontId="12" fillId="0" borderId="33" xfId="62" applyNumberFormat="1" applyFont="1" applyFill="1" applyBorder="1" applyAlignment="1" applyProtection="1">
      <alignment vertical="center"/>
      <protection/>
    </xf>
    <xf numFmtId="0" fontId="16" fillId="0" borderId="10" xfId="63" applyFont="1" applyFill="1" applyBorder="1" applyAlignment="1">
      <alignment horizontal="right" indent="1"/>
      <protection/>
    </xf>
    <xf numFmtId="0" fontId="16" fillId="0" borderId="42" xfId="63" applyFont="1" applyFill="1" applyBorder="1" applyAlignment="1">
      <alignment horizontal="right" indent="1"/>
      <protection/>
    </xf>
    <xf numFmtId="0" fontId="40" fillId="0" borderId="79" xfId="0" applyFont="1" applyBorder="1" applyAlignment="1" applyProtection="1">
      <alignment horizontal="left" vertical="top" wrapText="1"/>
      <protection locked="0"/>
    </xf>
    <xf numFmtId="9" fontId="40" fillId="0" borderId="79" xfId="71" applyFont="1" applyFill="1" applyBorder="1" applyAlignment="1" applyProtection="1">
      <alignment horizontal="center" vertical="center" wrapText="1"/>
      <protection locked="0"/>
    </xf>
    <xf numFmtId="178" fontId="40" fillId="0" borderId="79" xfId="48" applyNumberFormat="1" applyFont="1" applyFill="1" applyBorder="1" applyAlignment="1" applyProtection="1">
      <alignment horizontal="center" vertical="center" wrapText="1"/>
      <protection locked="0"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28" xfId="0" applyFont="1" applyBorder="1" applyAlignment="1" applyProtection="1">
      <alignment horizontal="left" vertical="center" wrapText="1" indent="1"/>
      <protection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28" xfId="0" applyFont="1" applyBorder="1" applyAlignment="1" applyProtection="1">
      <alignment vertical="center" wrapText="1"/>
      <protection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31" xfId="0" applyFont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5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Border="1" applyAlignment="1" applyProtection="1">
      <alignment horizontal="right" vertical="center" wrapText="1" indent="1"/>
      <protection/>
    </xf>
    <xf numFmtId="0" fontId="16" fillId="0" borderId="11" xfId="0" applyFont="1" applyBorder="1" applyAlignment="1" applyProtection="1">
      <alignment horizontal="left"/>
      <protection/>
    </xf>
    <xf numFmtId="164" fontId="3" fillId="0" borderId="0" xfId="0" applyNumberFormat="1" applyFont="1" applyFill="1" applyAlignment="1">
      <alignment vertical="center" wrapText="1"/>
    </xf>
    <xf numFmtId="164" fontId="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0" xfId="0" applyNumberFormat="1" applyFont="1" applyFill="1" applyBorder="1" applyAlignment="1" applyProtection="1">
      <alignment vertical="center" wrapText="1"/>
      <protection locked="0"/>
    </xf>
    <xf numFmtId="164" fontId="6" fillId="0" borderId="11" xfId="0" applyNumberFormat="1" applyFont="1" applyFill="1" applyBorder="1" applyAlignment="1" applyProtection="1">
      <alignment vertical="center" wrapText="1"/>
      <protection locked="0"/>
    </xf>
    <xf numFmtId="164" fontId="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8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0" fontId="44" fillId="0" borderId="0" xfId="0" applyFont="1" applyAlignment="1">
      <alignment horizontal="left"/>
    </xf>
    <xf numFmtId="3" fontId="54" fillId="0" borderId="84" xfId="0" applyNumberFormat="1" applyFont="1" applyFill="1" applyBorder="1" applyAlignment="1">
      <alignment/>
    </xf>
    <xf numFmtId="164" fontId="3" fillId="0" borderId="65" xfId="0" applyNumberFormat="1" applyFont="1" applyFill="1" applyBorder="1" applyAlignment="1">
      <alignment horizontal="left" vertical="center" wrapText="1" indent="2"/>
    </xf>
    <xf numFmtId="164" fontId="0" fillId="0" borderId="87" xfId="0" applyNumberFormat="1" applyFill="1" applyBorder="1" applyAlignment="1" applyProtection="1">
      <alignment horizontal="left" vertical="center" wrapText="1"/>
      <protection locked="0"/>
    </xf>
    <xf numFmtId="164" fontId="3" fillId="0" borderId="65" xfId="0" applyNumberFormat="1" applyFont="1" applyFill="1" applyBorder="1" applyAlignment="1">
      <alignment horizontal="center" vertical="center" wrapText="1"/>
    </xf>
    <xf numFmtId="164" fontId="0" fillId="0" borderId="88" xfId="0" applyNumberFormat="1" applyFill="1" applyBorder="1" applyAlignment="1" applyProtection="1">
      <alignment horizontal="left" vertical="center" wrapText="1"/>
      <protection locked="0"/>
    </xf>
    <xf numFmtId="164" fontId="6" fillId="0" borderId="41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/>
      <protection/>
    </xf>
    <xf numFmtId="164" fontId="13" fillId="0" borderId="11" xfId="0" applyNumberFormat="1" applyFont="1" applyFill="1" applyBorder="1" applyAlignment="1" applyProtection="1">
      <alignment horizontal="left" vertical="center" wrapText="1"/>
      <protection/>
    </xf>
    <xf numFmtId="164" fontId="13" fillId="0" borderId="28" xfId="0" applyNumberFormat="1" applyFont="1" applyFill="1" applyBorder="1" applyAlignment="1" applyProtection="1">
      <alignment horizontal="left" vertical="center" wrapText="1"/>
      <protection/>
    </xf>
    <xf numFmtId="164" fontId="13" fillId="0" borderId="12" xfId="0" applyNumberFormat="1" applyFont="1" applyFill="1" applyBorder="1" applyAlignment="1" applyProtection="1">
      <alignment horizontal="right" vertical="center" wrapText="1"/>
      <protection/>
    </xf>
    <xf numFmtId="164" fontId="13" fillId="0" borderId="12" xfId="0" applyNumberFormat="1" applyFont="1" applyFill="1" applyBorder="1" applyAlignment="1" applyProtection="1">
      <alignment horizontal="center" vertical="center" wrapText="1"/>
      <protection/>
    </xf>
    <xf numFmtId="164" fontId="13" fillId="0" borderId="11" xfId="0" applyNumberFormat="1" applyFont="1" applyFill="1" applyBorder="1" applyAlignment="1" applyProtection="1">
      <alignment horizontal="right" vertical="center" wrapText="1"/>
      <protection/>
    </xf>
    <xf numFmtId="164" fontId="13" fillId="0" borderId="11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right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vertical="center" wrapText="1"/>
      <protection locked="0"/>
    </xf>
    <xf numFmtId="164" fontId="11" fillId="0" borderId="28" xfId="0" applyNumberFormat="1" applyFont="1" applyFill="1" applyBorder="1" applyAlignment="1" applyProtection="1">
      <alignment vertical="center" wrapText="1"/>
      <protection locked="0"/>
    </xf>
    <xf numFmtId="164" fontId="11" fillId="0" borderId="68" xfId="0" applyNumberFormat="1" applyFont="1" applyFill="1" applyBorder="1" applyAlignment="1" applyProtection="1">
      <alignment vertical="center" wrapText="1"/>
      <protection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7" xfId="0" applyNumberFormat="1" applyFont="1" applyFill="1" applyBorder="1" applyAlignment="1" applyProtection="1">
      <alignment vertical="center" wrapText="1"/>
      <protection/>
    </xf>
    <xf numFmtId="3" fontId="3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59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7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46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56" xfId="0" applyNumberFormat="1" applyFont="1" applyFill="1" applyBorder="1" applyAlignment="1">
      <alignment vertical="center"/>
    </xf>
    <xf numFmtId="164" fontId="6" fillId="0" borderId="74" xfId="0" applyNumberFormat="1" applyFont="1" applyFill="1" applyBorder="1" applyAlignment="1">
      <alignment horizontal="center" vertical="center" wrapText="1"/>
    </xf>
    <xf numFmtId="164" fontId="12" fillId="0" borderId="55" xfId="0" applyNumberFormat="1" applyFont="1" applyFill="1" applyBorder="1" applyAlignment="1">
      <alignment horizontal="center" vertical="center" wrapText="1"/>
    </xf>
    <xf numFmtId="164" fontId="13" fillId="0" borderId="7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7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44" fillId="0" borderId="12" xfId="0" applyNumberFormat="1" applyFont="1" applyFill="1" applyBorder="1" applyAlignment="1" applyProtection="1">
      <alignment vertical="center" wrapText="1"/>
      <protection locked="0"/>
    </xf>
    <xf numFmtId="49" fontId="44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44" fillId="0" borderId="11" xfId="0" applyNumberFormat="1" applyFont="1" applyFill="1" applyBorder="1" applyAlignment="1" applyProtection="1">
      <alignment vertical="center" wrapText="1"/>
      <protection locked="0"/>
    </xf>
    <xf numFmtId="49" fontId="4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44" fillId="0" borderId="19" xfId="0" applyNumberFormat="1" applyFont="1" applyFill="1" applyBorder="1" applyAlignment="1" applyProtection="1">
      <alignment vertical="center" wrapText="1"/>
      <protection locked="0"/>
    </xf>
    <xf numFmtId="164" fontId="44" fillId="0" borderId="15" xfId="0" applyNumberFormat="1" applyFont="1" applyFill="1" applyBorder="1" applyAlignment="1" applyProtection="1">
      <alignment vertical="center" wrapText="1"/>
      <protection locked="0"/>
    </xf>
    <xf numFmtId="49" fontId="4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44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44" fillId="0" borderId="28" xfId="0" applyNumberFormat="1" applyFont="1" applyFill="1" applyBorder="1" applyAlignment="1" applyProtection="1">
      <alignment vertical="center" wrapText="1"/>
      <protection locked="0"/>
    </xf>
    <xf numFmtId="49" fontId="44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70" xfId="0" applyNumberFormat="1" applyFont="1" applyFill="1" applyBorder="1" applyAlignment="1">
      <alignment vertical="center" wrapText="1"/>
    </xf>
    <xf numFmtId="164" fontId="44" fillId="0" borderId="27" xfId="0" applyNumberFormat="1" applyFont="1" applyFill="1" applyBorder="1" applyAlignment="1">
      <alignment vertical="center" wrapText="1"/>
    </xf>
    <xf numFmtId="164" fontId="55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55" fillId="0" borderId="11" xfId="0" applyNumberFormat="1" applyFont="1" applyFill="1" applyBorder="1" applyAlignment="1" applyProtection="1">
      <alignment vertical="center" wrapText="1"/>
      <protection locked="0"/>
    </xf>
    <xf numFmtId="164" fontId="44" fillId="0" borderId="27" xfId="0" applyNumberFormat="1" applyFont="1" applyFill="1" applyBorder="1" applyAlignment="1" applyProtection="1">
      <alignment vertical="center" wrapText="1"/>
      <protection/>
    </xf>
    <xf numFmtId="49" fontId="5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38" xfId="0" applyNumberFormat="1" applyFont="1" applyFill="1" applyBorder="1" applyAlignment="1" applyProtection="1">
      <alignment vertical="center" wrapText="1"/>
      <protection locked="0"/>
    </xf>
    <xf numFmtId="164" fontId="55" fillId="0" borderId="42" xfId="0" applyNumberFormat="1" applyFont="1" applyFill="1" applyBorder="1" applyAlignment="1" applyProtection="1">
      <alignment vertical="center" wrapText="1"/>
      <protection locked="0"/>
    </xf>
    <xf numFmtId="164" fontId="55" fillId="0" borderId="14" xfId="0" applyNumberFormat="1" applyFont="1" applyFill="1" applyBorder="1" applyAlignment="1" applyProtection="1">
      <alignment vertical="center" wrapText="1"/>
      <protection locked="0"/>
    </xf>
    <xf numFmtId="164" fontId="55" fillId="0" borderId="22" xfId="0" applyNumberFormat="1" applyFont="1" applyFill="1" applyBorder="1" applyAlignment="1" applyProtection="1">
      <alignment horizontal="left" vertical="center" wrapText="1"/>
      <protection/>
    </xf>
    <xf numFmtId="164" fontId="55" fillId="0" borderId="23" xfId="0" applyNumberFormat="1" applyFont="1" applyFill="1" applyBorder="1" applyAlignment="1" applyProtection="1">
      <alignment vertical="center" wrapText="1"/>
      <protection/>
    </xf>
    <xf numFmtId="164" fontId="55" fillId="33" borderId="23" xfId="0" applyNumberFormat="1" applyFont="1" applyFill="1" applyBorder="1" applyAlignment="1" applyProtection="1">
      <alignment vertical="center" wrapText="1"/>
      <protection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9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9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9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9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9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0" applyNumberFormat="1" applyFont="1" applyBorder="1" applyAlignment="1" applyProtection="1">
      <alignment horizontal="right" vertical="center" wrapText="1" indent="1"/>
      <protection/>
    </xf>
    <xf numFmtId="164" fontId="15" fillId="0" borderId="22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10" xfId="0" applyNumberFormat="1" applyFont="1" applyBorder="1" applyAlignment="1" applyProtection="1" quotePrefix="1">
      <alignment horizontal="right" vertical="center" wrapText="1" indent="1"/>
      <protection/>
    </xf>
    <xf numFmtId="0" fontId="49" fillId="0" borderId="11" xfId="0" applyFont="1" applyBorder="1" applyAlignment="1">
      <alignment/>
    </xf>
    <xf numFmtId="3" fontId="53" fillId="0" borderId="11" xfId="61" applyNumberFormat="1" applyFont="1" applyFill="1" applyBorder="1">
      <alignment/>
      <protection/>
    </xf>
    <xf numFmtId="3" fontId="51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164" fontId="12" fillId="0" borderId="59" xfId="0" applyNumberFormat="1" applyFont="1" applyFill="1" applyBorder="1" applyAlignment="1">
      <alignment horizontal="right" vertical="center" wrapText="1" indent="1"/>
    </xf>
    <xf numFmtId="165" fontId="0" fillId="0" borderId="91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67" xfId="0" applyNumberFormat="1" applyFont="1" applyFill="1" applyBorder="1" applyAlignment="1">
      <alignment horizontal="left" vertical="center" wrapText="1" indent="1"/>
    </xf>
    <xf numFmtId="164" fontId="12" fillId="0" borderId="11" xfId="0" applyNumberFormat="1" applyFont="1" applyFill="1" applyBorder="1" applyAlignment="1">
      <alignment horizontal="left" vertical="center" wrapText="1" indent="1"/>
    </xf>
    <xf numFmtId="164" fontId="0" fillId="33" borderId="33" xfId="0" applyNumberFormat="1" applyFont="1" applyFill="1" applyBorder="1" applyAlignment="1">
      <alignment horizontal="left" vertical="center" wrapText="1" indent="2"/>
    </xf>
    <xf numFmtId="164" fontId="12" fillId="0" borderId="15" xfId="0" applyNumberFormat="1" applyFont="1" applyFill="1" applyBorder="1" applyAlignment="1">
      <alignment horizontal="left" vertical="center" wrapText="1" indent="1"/>
    </xf>
    <xf numFmtId="0" fontId="13" fillId="0" borderId="41" xfId="0" applyFont="1" applyFill="1" applyBorder="1" applyAlignment="1">
      <alignment horizontal="right" vertical="center" indent="1"/>
    </xf>
    <xf numFmtId="3" fontId="25" fillId="38" borderId="54" xfId="0" applyNumberFormat="1" applyFont="1" applyFill="1" applyBorder="1" applyAlignment="1">
      <alignment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25" fillId="38" borderId="10" xfId="0" applyNumberFormat="1" applyFont="1" applyFill="1" applyBorder="1" applyAlignment="1">
      <alignment/>
    </xf>
    <xf numFmtId="3" fontId="2" fillId="0" borderId="90" xfId="0" applyNumberFormat="1" applyFont="1" applyFill="1" applyBorder="1" applyAlignment="1" applyProtection="1">
      <alignment horizontal="right" vertical="center"/>
      <protection locked="0"/>
    </xf>
    <xf numFmtId="0" fontId="13" fillId="0" borderId="11" xfId="0" applyFont="1" applyFill="1" applyBorder="1" applyAlignment="1" applyProtection="1">
      <alignment horizontal="left" vertical="center" wrapText="1" indent="1"/>
      <protection locked="0"/>
    </xf>
    <xf numFmtId="3" fontId="25" fillId="38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0" fontId="56" fillId="0" borderId="0" xfId="63" applyFont="1" applyFill="1" applyAlignment="1" applyProtection="1">
      <alignment vertical="center"/>
      <protection/>
    </xf>
    <xf numFmtId="0" fontId="20" fillId="0" borderId="30" xfId="62" applyFont="1" applyFill="1" applyBorder="1" applyAlignment="1" applyProtection="1">
      <alignment horizontal="right" vertical="center"/>
      <protection locked="0"/>
    </xf>
    <xf numFmtId="49" fontId="12" fillId="0" borderId="19" xfId="62" applyNumberFormat="1" applyFont="1" applyFill="1" applyBorder="1" applyAlignment="1" applyProtection="1">
      <alignment horizontal="center" vertical="center" wrapText="1"/>
      <protection locked="0"/>
    </xf>
    <xf numFmtId="0" fontId="35" fillId="0" borderId="15" xfId="63" applyFont="1" applyFill="1" applyBorder="1" applyAlignment="1" applyProtection="1">
      <alignment wrapText="1"/>
      <protection locked="0"/>
    </xf>
    <xf numFmtId="0" fontId="57" fillId="0" borderId="11" xfId="62" applyFont="1" applyFill="1" applyBorder="1" applyAlignment="1" applyProtection="1">
      <alignment horizontal="left" vertical="center"/>
      <protection/>
    </xf>
    <xf numFmtId="3" fontId="31" fillId="0" borderId="6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47" xfId="0" applyNumberFormat="1" applyFont="1" applyFill="1" applyBorder="1" applyAlignment="1">
      <alignment horizontal="right" vertical="center" wrapText="1"/>
    </xf>
    <xf numFmtId="4" fontId="32" fillId="0" borderId="34" xfId="0" applyNumberFormat="1" applyFont="1" applyFill="1" applyBorder="1" applyAlignment="1">
      <alignment horizontal="right" vertical="center" wrapText="1"/>
    </xf>
    <xf numFmtId="4" fontId="32" fillId="0" borderId="48" xfId="0" applyNumberFormat="1" applyFont="1" applyFill="1" applyBorder="1" applyAlignment="1">
      <alignment horizontal="right" vertical="center" wrapText="1"/>
    </xf>
    <xf numFmtId="164" fontId="32" fillId="0" borderId="58" xfId="0" applyNumberFormat="1" applyFont="1" applyFill="1" applyBorder="1" applyAlignment="1" applyProtection="1">
      <alignment horizontal="right" vertical="center" wrapText="1"/>
      <protection/>
    </xf>
    <xf numFmtId="164" fontId="32" fillId="0" borderId="40" xfId="0" applyNumberFormat="1" applyFont="1" applyFill="1" applyBorder="1" applyAlignment="1" applyProtection="1">
      <alignment horizontal="right" vertical="center" wrapText="1"/>
      <protection/>
    </xf>
    <xf numFmtId="164" fontId="32" fillId="0" borderId="64" xfId="0" applyNumberFormat="1" applyFont="1" applyFill="1" applyBorder="1" applyAlignment="1" applyProtection="1">
      <alignment horizontal="right" vertical="center" wrapText="1"/>
      <protection/>
    </xf>
    <xf numFmtId="0" fontId="2" fillId="0" borderId="92" xfId="0" applyFont="1" applyBorder="1" applyAlignment="1" applyProtection="1">
      <alignment vertical="center" wrapText="1"/>
      <protection locked="0"/>
    </xf>
    <xf numFmtId="0" fontId="2" fillId="0" borderId="81" xfId="0" applyFont="1" applyBorder="1" applyAlignment="1" applyProtection="1">
      <alignment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vertical="center"/>
      <protection locked="0"/>
    </xf>
    <xf numFmtId="3" fontId="25" fillId="38" borderId="38" xfId="0" applyNumberFormat="1" applyFont="1" applyFill="1" applyBorder="1" applyAlignment="1">
      <alignment/>
    </xf>
    <xf numFmtId="0" fontId="13" fillId="0" borderId="12" xfId="0" applyFont="1" applyFill="1" applyBorder="1" applyAlignment="1" applyProtection="1">
      <alignment horizontal="left" vertical="center" indent="1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35" fillId="0" borderId="93" xfId="63" applyFont="1" applyFill="1" applyBorder="1" applyAlignment="1" applyProtection="1">
      <alignment wrapText="1"/>
      <protection locked="0"/>
    </xf>
    <xf numFmtId="0" fontId="35" fillId="0" borderId="53" xfId="63" applyFont="1" applyFill="1" applyBorder="1" applyAlignment="1" applyProtection="1">
      <alignment wrapText="1"/>
      <protection locked="0"/>
    </xf>
    <xf numFmtId="3" fontId="56" fillId="0" borderId="0" xfId="0" applyNumberFormat="1" applyFont="1" applyAlignment="1">
      <alignment horizontal="right" vertical="top" wrapText="1"/>
    </xf>
    <xf numFmtId="3" fontId="59" fillId="0" borderId="0" xfId="0" applyNumberFormat="1" applyFont="1" applyAlignment="1">
      <alignment horizontal="right" vertical="top" wrapText="1"/>
    </xf>
    <xf numFmtId="0" fontId="26" fillId="0" borderId="67" xfId="63" applyFont="1" applyFill="1" applyBorder="1" applyAlignment="1" applyProtection="1">
      <alignment horizontal="center" vertical="center" wrapText="1"/>
      <protection locked="0"/>
    </xf>
    <xf numFmtId="0" fontId="26" fillId="0" borderId="24" xfId="63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left" vertical="top" wrapText="1"/>
    </xf>
    <xf numFmtId="3" fontId="56" fillId="0" borderId="11" xfId="0" applyNumberFormat="1" applyFont="1" applyBorder="1" applyAlignment="1">
      <alignment horizontal="right" vertical="top" wrapText="1"/>
    </xf>
    <xf numFmtId="0" fontId="59" fillId="0" borderId="11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left" vertical="top" wrapText="1"/>
    </xf>
    <xf numFmtId="3" fontId="59" fillId="0" borderId="11" xfId="0" applyNumberFormat="1" applyFont="1" applyBorder="1" applyAlignment="1">
      <alignment horizontal="right" vertical="top" wrapText="1"/>
    </xf>
    <xf numFmtId="0" fontId="58" fillId="0" borderId="11" xfId="62" applyFont="1" applyFill="1" applyBorder="1" applyAlignment="1" applyProtection="1">
      <alignment horizontal="left" vertical="center"/>
      <protection/>
    </xf>
    <xf numFmtId="0" fontId="108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7" borderId="0" xfId="0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5" fillId="37" borderId="0" xfId="0" applyFont="1" applyFill="1" applyAlignment="1" applyProtection="1">
      <alignment horizontal="center"/>
      <protection locked="0"/>
    </xf>
    <xf numFmtId="0" fontId="19" fillId="37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6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4" fontId="20" fillId="0" borderId="30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3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31" xfId="60" applyFont="1" applyFill="1" applyBorder="1" applyAlignment="1" applyProtection="1">
      <alignment horizontal="center" vertical="center" wrapText="1"/>
      <protection/>
    </xf>
    <xf numFmtId="0" fontId="6" fillId="0" borderId="89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44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0" xfId="60" applyNumberFormat="1" applyFont="1" applyFill="1" applyBorder="1" applyAlignment="1" applyProtection="1">
      <alignment horizontal="left" vertical="center"/>
      <protection locked="0"/>
    </xf>
    <xf numFmtId="164" fontId="20" fillId="0" borderId="30" xfId="60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 locked="0"/>
    </xf>
    <xf numFmtId="164" fontId="6" fillId="0" borderId="6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109" fillId="0" borderId="6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164" fontId="12" fillId="0" borderId="42" xfId="0" applyNumberFormat="1" applyFont="1" applyFill="1" applyBorder="1" applyAlignment="1">
      <alignment horizontal="center" vertical="center"/>
    </xf>
    <xf numFmtId="164" fontId="12" fillId="0" borderId="4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164" fontId="6" fillId="0" borderId="42" xfId="0" applyNumberFormat="1" applyFont="1" applyFill="1" applyBorder="1" applyAlignment="1">
      <alignment horizontal="center" vertical="center" wrapText="1"/>
    </xf>
    <xf numFmtId="173" fontId="26" fillId="0" borderId="63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3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4" xfId="0" applyNumberFormat="1" applyFont="1" applyFill="1" applyBorder="1" applyAlignment="1">
      <alignment horizontal="center" vertical="center" wrapText="1"/>
    </xf>
    <xf numFmtId="164" fontId="6" fillId="0" borderId="63" xfId="0" applyNumberFormat="1" applyFont="1" applyFill="1" applyBorder="1" applyAlignment="1">
      <alignment horizontal="center" vertical="center" wrapText="1"/>
    </xf>
    <xf numFmtId="164" fontId="6" fillId="0" borderId="46" xfId="0" applyNumberFormat="1" applyFont="1" applyFill="1" applyBorder="1" applyAlignment="1">
      <alignment horizontal="center" vertical="center" wrapText="1"/>
    </xf>
    <xf numFmtId="164" fontId="6" fillId="0" borderId="4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51" xfId="0" applyNumberFormat="1" applyFont="1" applyFill="1" applyBorder="1" applyAlignment="1">
      <alignment horizontal="center" vertical="center" wrapText="1"/>
    </xf>
    <xf numFmtId="164" fontId="6" fillId="0" borderId="55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164" fontId="6" fillId="0" borderId="49" xfId="0" applyNumberFormat="1" applyFont="1" applyFill="1" applyBorder="1" applyAlignment="1">
      <alignment horizontal="center" vertical="center" wrapText="1"/>
    </xf>
    <xf numFmtId="164" fontId="12" fillId="0" borderId="62" xfId="0" applyNumberFormat="1" applyFont="1" applyFill="1" applyBorder="1" applyAlignment="1">
      <alignment horizontal="center" vertical="center" wrapText="1"/>
    </xf>
    <xf numFmtId="164" fontId="12" fillId="0" borderId="3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textRotation="180"/>
    </xf>
    <xf numFmtId="164" fontId="4" fillId="0" borderId="30" xfId="0" applyNumberFormat="1" applyFont="1" applyFill="1" applyBorder="1" applyAlignment="1" applyProtection="1">
      <alignment horizontal="right" vertical="center"/>
      <protection locked="0"/>
    </xf>
    <xf numFmtId="164" fontId="6" fillId="0" borderId="74" xfId="0" applyNumberFormat="1" applyFont="1" applyFill="1" applyBorder="1" applyAlignment="1">
      <alignment horizontal="center" vertical="center"/>
    </xf>
    <xf numFmtId="164" fontId="6" fillId="0" borderId="41" xfId="0" applyNumberFormat="1" applyFont="1" applyFill="1" applyBorder="1" applyAlignment="1">
      <alignment horizontal="center" vertical="center"/>
    </xf>
    <xf numFmtId="164" fontId="6" fillId="0" borderId="55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 wrapText="1"/>
    </xf>
    <xf numFmtId="164" fontId="3" fillId="0" borderId="62" xfId="0" applyNumberFormat="1" applyFont="1" applyFill="1" applyBorder="1" applyAlignment="1">
      <alignment horizontal="left" vertical="center" wrapText="1" indent="2"/>
    </xf>
    <xf numFmtId="164" fontId="3" fillId="0" borderId="65" xfId="0" applyNumberFormat="1" applyFont="1" applyFill="1" applyBorder="1" applyAlignment="1">
      <alignment horizontal="left" vertical="center" wrapText="1" indent="2"/>
    </xf>
    <xf numFmtId="164" fontId="0" fillId="0" borderId="94" xfId="0" applyNumberFormat="1" applyFill="1" applyBorder="1" applyAlignment="1" applyProtection="1">
      <alignment horizontal="left" vertical="center" wrapText="1"/>
      <protection locked="0"/>
    </xf>
    <xf numFmtId="164" fontId="0" fillId="0" borderId="87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3" fillId="0" borderId="62" xfId="0" applyNumberFormat="1" applyFont="1" applyFill="1" applyBorder="1" applyAlignment="1">
      <alignment horizontal="center" vertical="center" wrapText="1"/>
    </xf>
    <xf numFmtId="164" fontId="3" fillId="0" borderId="65" xfId="0" applyNumberFormat="1" applyFont="1" applyFill="1" applyBorder="1" applyAlignment="1">
      <alignment horizontal="center" vertical="center" wrapText="1"/>
    </xf>
    <xf numFmtId="164" fontId="0" fillId="0" borderId="57" xfId="0" applyNumberFormat="1" applyFill="1" applyBorder="1" applyAlignment="1" applyProtection="1">
      <alignment horizontal="left" vertical="center" wrapText="1"/>
      <protection locked="0"/>
    </xf>
    <xf numFmtId="164" fontId="0" fillId="0" borderId="88" xfId="0" applyNumberFormat="1" applyFill="1" applyBorder="1" applyAlignment="1" applyProtection="1">
      <alignment horizontal="left" vertical="center" wrapText="1"/>
      <protection locked="0"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33" fillId="0" borderId="30" xfId="0" applyFont="1" applyBorder="1" applyAlignment="1" applyProtection="1">
      <alignment horizontal="right" vertical="top"/>
      <protection locked="0"/>
    </xf>
    <xf numFmtId="0" fontId="1" fillId="0" borderId="30" xfId="0" applyFont="1" applyBorder="1" applyAlignment="1" applyProtection="1">
      <alignment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164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Border="1" applyAlignment="1" applyProtection="1">
      <alignment horizontal="right"/>
      <protection locked="0"/>
    </xf>
    <xf numFmtId="0" fontId="6" fillId="0" borderId="62" xfId="0" applyFont="1" applyFill="1" applyBorder="1" applyAlignment="1" applyProtection="1">
      <alignment horizontal="left" vertical="center" wrapText="1" indent="1"/>
      <protection/>
    </xf>
    <xf numFmtId="0" fontId="6" fillId="0" borderId="32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34" fillId="0" borderId="30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>
      <alignment/>
    </xf>
    <xf numFmtId="164" fontId="6" fillId="0" borderId="95" xfId="60" applyNumberFormat="1" applyFont="1" applyFill="1" applyBorder="1" applyAlignment="1" applyProtection="1">
      <alignment horizontal="center" vertical="center"/>
      <protection/>
    </xf>
    <xf numFmtId="164" fontId="6" fillId="0" borderId="88" xfId="60" applyNumberFormat="1" applyFont="1" applyFill="1" applyBorder="1" applyAlignment="1" applyProtection="1">
      <alignment horizontal="center" vertical="center"/>
      <protection/>
    </xf>
    <xf numFmtId="164" fontId="6" fillId="0" borderId="47" xfId="60" applyNumberFormat="1" applyFont="1" applyFill="1" applyBorder="1" applyAlignment="1" applyProtection="1">
      <alignment horizontal="center" vertical="center"/>
      <protection/>
    </xf>
    <xf numFmtId="164" fontId="6" fillId="0" borderId="96" xfId="60" applyNumberFormat="1" applyFont="1" applyFill="1" applyBorder="1" applyAlignment="1" applyProtection="1">
      <alignment horizontal="center" vertical="center"/>
      <protection locked="0"/>
    </xf>
    <xf numFmtId="164" fontId="6" fillId="0" borderId="63" xfId="60" applyNumberFormat="1" applyFont="1" applyFill="1" applyBorder="1" applyAlignment="1" applyProtection="1">
      <alignment horizontal="center" vertical="center"/>
      <protection locked="0"/>
    </xf>
    <xf numFmtId="164" fontId="6" fillId="0" borderId="46" xfId="60" applyNumberFormat="1" applyFont="1" applyFill="1" applyBorder="1" applyAlignment="1" applyProtection="1">
      <alignment horizontal="center" vertical="center"/>
      <protection locked="0"/>
    </xf>
    <xf numFmtId="0" fontId="6" fillId="0" borderId="25" xfId="60" applyFont="1" applyFill="1" applyBorder="1" applyAlignment="1" applyProtection="1">
      <alignment horizontal="center" vertical="center" wrapText="1"/>
      <protection locked="0"/>
    </xf>
    <xf numFmtId="0" fontId="6" fillId="0" borderId="31" xfId="6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6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67" xfId="0" applyNumberFormat="1" applyFont="1" applyFill="1" applyBorder="1" applyAlignment="1" applyProtection="1">
      <alignment horizontal="center" vertical="center"/>
      <protection locked="0"/>
    </xf>
    <xf numFmtId="164" fontId="6" fillId="0" borderId="56" xfId="0" applyNumberFormat="1" applyFont="1" applyFill="1" applyBorder="1" applyAlignment="1" applyProtection="1">
      <alignment horizontal="center" vertical="center"/>
      <protection locked="0"/>
    </xf>
    <xf numFmtId="164" fontId="6" fillId="0" borderId="7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8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3" xfId="0" applyFont="1" applyFill="1" applyBorder="1" applyAlignment="1">
      <alignment horizontal="justify" vertical="center" wrapText="1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62" xfId="0" applyFont="1" applyFill="1" applyBorder="1" applyAlignment="1">
      <alignment horizontal="left" vertical="center" indent="2"/>
    </xf>
    <xf numFmtId="0" fontId="6" fillId="0" borderId="32" xfId="0" applyFont="1" applyFill="1" applyBorder="1" applyAlignment="1">
      <alignment horizontal="left" vertical="center" indent="2"/>
    </xf>
    <xf numFmtId="0" fontId="8" fillId="0" borderId="0" xfId="0" applyFont="1" applyFill="1" applyAlignment="1" applyProtection="1">
      <alignment horizontal="right"/>
      <protection locked="0"/>
    </xf>
    <xf numFmtId="0" fontId="35" fillId="0" borderId="96" xfId="63" applyFont="1" applyFill="1" applyBorder="1" applyAlignment="1" applyProtection="1">
      <alignment horizontal="center" vertical="center" wrapText="1"/>
      <protection locked="0"/>
    </xf>
    <xf numFmtId="0" fontId="35" fillId="0" borderId="86" xfId="63" applyFont="1" applyFill="1" applyBorder="1" applyAlignment="1" applyProtection="1">
      <alignment horizontal="center" vertical="center" wrapText="1"/>
      <protection locked="0"/>
    </xf>
    <xf numFmtId="0" fontId="35" fillId="0" borderId="97" xfId="63" applyFont="1" applyFill="1" applyBorder="1" applyAlignment="1" applyProtection="1">
      <alignment horizontal="center" vertical="center" wrapText="1"/>
      <protection locked="0"/>
    </xf>
    <xf numFmtId="0" fontId="35" fillId="0" borderId="29" xfId="63" applyFont="1" applyFill="1" applyBorder="1" applyAlignment="1" applyProtection="1">
      <alignment horizontal="center" vertical="center" wrapText="1"/>
      <protection locked="0"/>
    </xf>
    <xf numFmtId="0" fontId="20" fillId="0" borderId="25" xfId="62" applyFont="1" applyFill="1" applyBorder="1" applyAlignment="1" applyProtection="1">
      <alignment horizontal="center" vertical="center" textRotation="90"/>
      <protection locked="0"/>
    </xf>
    <xf numFmtId="0" fontId="20" fillId="0" borderId="10" xfId="62" applyFont="1" applyFill="1" applyBorder="1" applyAlignment="1" applyProtection="1">
      <alignment horizontal="center" vertical="center" textRotation="90"/>
      <protection locked="0"/>
    </xf>
    <xf numFmtId="0" fontId="33" fillId="0" borderId="0" xfId="63" applyFont="1" applyFill="1" applyAlignment="1" applyProtection="1">
      <alignment horizontal="right"/>
      <protection locked="0"/>
    </xf>
    <xf numFmtId="0" fontId="34" fillId="0" borderId="0" xfId="63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4" fillId="0" borderId="0" xfId="63" applyFont="1" applyFill="1" applyAlignment="1" applyProtection="1">
      <alignment horizontal="center" vertical="center" wrapText="1"/>
      <protection locked="0"/>
    </xf>
    <xf numFmtId="0" fontId="34" fillId="0" borderId="0" xfId="63" applyFont="1" applyFill="1" applyAlignment="1" applyProtection="1">
      <alignment horizontal="center" vertical="center"/>
      <protection locked="0"/>
    </xf>
    <xf numFmtId="0" fontId="35" fillId="0" borderId="30" xfId="63" applyFont="1" applyFill="1" applyBorder="1" applyAlignment="1" applyProtection="1">
      <alignment horizontal="right"/>
      <protection locked="0"/>
    </xf>
    <xf numFmtId="0" fontId="36" fillId="0" borderId="24" xfId="63" applyFont="1" applyFill="1" applyBorder="1" applyAlignment="1" applyProtection="1">
      <alignment horizontal="center" vertical="center" wrapText="1"/>
      <protection locked="0"/>
    </xf>
    <xf numFmtId="0" fontId="36" fillId="0" borderId="16" xfId="63" applyFont="1" applyFill="1" applyBorder="1" applyAlignment="1" applyProtection="1">
      <alignment horizontal="center" vertical="center" wrapText="1"/>
      <protection locked="0"/>
    </xf>
    <xf numFmtId="0" fontId="20" fillId="0" borderId="13" xfId="62" applyFont="1" applyFill="1" applyBorder="1" applyAlignment="1" applyProtection="1">
      <alignment horizontal="center" vertical="center" textRotation="90"/>
      <protection locked="0"/>
    </xf>
    <xf numFmtId="0" fontId="20" fillId="0" borderId="11" xfId="62" applyFont="1" applyFill="1" applyBorder="1" applyAlignment="1" applyProtection="1">
      <alignment horizontal="center" vertical="center" textRotation="90"/>
      <protection locked="0"/>
    </xf>
    <xf numFmtId="0" fontId="8" fillId="0" borderId="0" xfId="62" applyFont="1" applyFill="1" applyAlignment="1" applyProtection="1">
      <alignment horizontal="right" vertical="center" wrapText="1"/>
      <protection locked="0"/>
    </xf>
    <xf numFmtId="0" fontId="0" fillId="0" borderId="0" xfId="62" applyFill="1" applyAlignment="1" applyProtection="1">
      <alignment horizontal="right" vertical="center" wrapText="1"/>
      <protection locked="0"/>
    </xf>
    <xf numFmtId="0" fontId="5" fillId="0" borderId="0" xfId="62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62" applyFont="1" applyFill="1" applyAlignment="1" applyProtection="1">
      <alignment horizontal="center" vertical="center" wrapText="1"/>
      <protection locked="0"/>
    </xf>
    <xf numFmtId="0" fontId="5" fillId="0" borderId="20" xfId="62" applyFont="1" applyFill="1" applyBorder="1" applyAlignment="1" applyProtection="1">
      <alignment horizontal="center" vertical="center" wrapText="1"/>
      <protection locked="0"/>
    </xf>
    <xf numFmtId="0" fontId="5" fillId="0" borderId="17" xfId="62" applyFont="1" applyFill="1" applyBorder="1" applyAlignment="1" applyProtection="1">
      <alignment horizontal="center" vertical="center" wrapText="1"/>
      <protection locked="0"/>
    </xf>
    <xf numFmtId="0" fontId="34" fillId="0" borderId="0" xfId="63" applyFont="1" applyFill="1" applyAlignment="1">
      <alignment horizontal="center" vertical="center" wrapText="1"/>
      <protection/>
    </xf>
    <xf numFmtId="0" fontId="34" fillId="0" borderId="0" xfId="63" applyFont="1" applyFill="1" applyAlignment="1">
      <alignment horizontal="center" vertical="center"/>
      <protection/>
    </xf>
    <xf numFmtId="0" fontId="15" fillId="0" borderId="62" xfId="63" applyFont="1" applyFill="1" applyBorder="1" applyAlignment="1">
      <alignment horizontal="left"/>
      <protection/>
    </xf>
    <xf numFmtId="0" fontId="15" fillId="0" borderId="32" xfId="63" applyFont="1" applyFill="1" applyBorder="1" applyAlignment="1">
      <alignment horizontal="left"/>
      <protection/>
    </xf>
    <xf numFmtId="0" fontId="33" fillId="0" borderId="0" xfId="63" applyFont="1" applyFill="1" applyAlignment="1">
      <alignment horizontal="right"/>
      <protection/>
    </xf>
    <xf numFmtId="0" fontId="34" fillId="0" borderId="0" xfId="63" applyFont="1" applyFill="1" applyAlignment="1">
      <alignment horizontal="center"/>
      <protection/>
    </xf>
    <xf numFmtId="0" fontId="8" fillId="0" borderId="0" xfId="0" applyFont="1" applyAlignment="1" applyProtection="1">
      <alignment horizontal="center" textRotation="180"/>
      <protection locked="0"/>
    </xf>
    <xf numFmtId="0" fontId="38" fillId="0" borderId="22" xfId="0" applyFont="1" applyBorder="1" applyAlignment="1" applyProtection="1">
      <alignment wrapText="1"/>
      <protection/>
    </xf>
    <xf numFmtId="0" fontId="38" fillId="0" borderId="23" xfId="0" applyFont="1" applyBorder="1" applyAlignment="1" applyProtection="1">
      <alignment wrapText="1"/>
      <protection/>
    </xf>
    <xf numFmtId="0" fontId="38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right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Munka5" xfId="61"/>
    <cellStyle name="Normál_VAGYONK" xfId="62"/>
    <cellStyle name="Normál_VAGYONKI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Százalék 2" xfId="71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rienn\AppData\Local\Temp\Z&#193;RSZ&#193;M_2020%20GEVS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EVSZii2021%20z&#225;rsz&#225;m&#225;ad&#225;si%20rende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8">
        <row r="2">
          <cell r="I2" t="str">
            <v> Forintban!</v>
          </cell>
        </row>
      </sheetData>
      <sheetData sheetId="10">
        <row r="4">
          <cell r="G4" t="str">
            <v> Forintban!</v>
          </cell>
        </row>
      </sheetData>
      <sheetData sheetId="16">
        <row r="4">
          <cell r="E4" t="str">
            <v> Forintban!</v>
          </cell>
        </row>
      </sheetData>
      <sheetData sheetId="17">
        <row r="2">
          <cell r="B2" t="str">
            <v>Balatonvilágos Község Önkormányzat Gazdasági Ellátó és Vagyongazdálkodó Szervezete</v>
          </cell>
        </row>
        <row r="4">
          <cell r="E4" t="str">
            <v> Forintban!</v>
          </cell>
        </row>
      </sheetData>
      <sheetData sheetId="18">
        <row r="2">
          <cell r="B2" t="str">
            <v>Balatonvilágos Község Önkormányzat Gazdasági Ellátó és Vagyongazdálkodó Szervezete</v>
          </cell>
        </row>
        <row r="4">
          <cell r="E4" t="str">
            <v> Forintban!</v>
          </cell>
        </row>
      </sheetData>
      <sheetData sheetId="20">
        <row r="4">
          <cell r="E4" t="str">
            <v> Forintban!</v>
          </cell>
        </row>
      </sheetData>
      <sheetData sheetId="21">
        <row r="4">
          <cell r="E4" t="str">
            <v> 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_TARTALOMJEGYZÉK"/>
      <sheetName val="Z_ALAPADATOK"/>
      <sheetName val="Z_ÖSSZEFÜGGÉSEK"/>
      <sheetName val="1"/>
      <sheetName val="2"/>
      <sheetName val="3"/>
      <sheetName val="4"/>
      <sheetName val="5"/>
      <sheetName val="6"/>
      <sheetName val="Z_ELLENŐRZÉS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</sheetNames>
    <sheetDataSet>
      <sheetData sheetId="15">
        <row r="5">
          <cell r="E5" t="str">
            <v>Teljesítés
2021. XII. 31.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1"/>
  <sheetViews>
    <sheetView zoomScale="120" zoomScaleNormal="120" zoomScalePageLayoutView="0" workbookViewId="0" topLeftCell="A1">
      <selection activeCell="B36" sqref="B36"/>
    </sheetView>
  </sheetViews>
  <sheetFormatPr defaultColWidth="9.00390625" defaultRowHeight="12.75"/>
  <cols>
    <col min="1" max="1" width="34.875" style="0" customWidth="1"/>
    <col min="2" max="2" width="114.625" style="0" customWidth="1"/>
    <col min="3" max="3" width="35.375" style="0" customWidth="1"/>
  </cols>
  <sheetData>
    <row r="2" spans="1:3" ht="18.75">
      <c r="A2" s="820" t="s">
        <v>575</v>
      </c>
      <c r="B2" s="820"/>
      <c r="C2" s="820"/>
    </row>
    <row r="3" spans="1:3" ht="15">
      <c r="A3" s="539"/>
      <c r="B3" s="540"/>
      <c r="C3" s="539"/>
    </row>
    <row r="4" spans="1:3" ht="14.25">
      <c r="A4" s="541" t="s">
        <v>576</v>
      </c>
      <c r="B4" s="542" t="s">
        <v>577</v>
      </c>
      <c r="C4" s="541" t="s">
        <v>578</v>
      </c>
    </row>
    <row r="5" spans="1:3" ht="12.75">
      <c r="A5" s="543"/>
      <c r="B5" s="543"/>
      <c r="C5" s="543"/>
    </row>
    <row r="6" spans="1:3" ht="18.75">
      <c r="A6" s="821" t="s">
        <v>587</v>
      </c>
      <c r="B6" s="821"/>
      <c r="C6" s="821"/>
    </row>
    <row r="7" spans="1:3" ht="12.75">
      <c r="A7" s="682" t="s">
        <v>579</v>
      </c>
      <c r="B7" s="543" t="s">
        <v>580</v>
      </c>
      <c r="C7" s="544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ht="12.75">
      <c r="A8" s="682" t="s">
        <v>581</v>
      </c>
      <c r="B8" s="543" t="s">
        <v>595</v>
      </c>
      <c r="C8" s="544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ht="12.75">
      <c r="A9" s="682">
        <v>1</v>
      </c>
      <c r="B9" s="543" t="str">
        <f>CONCATENATE(LOWER(1!A3))</f>
        <v>2021. évi zárszámadásának pénzügyi mérlege</v>
      </c>
      <c r="C9" s="544" t="str">
        <f ca="1">HYPERLINK(SUBSTITUTE(CELL("address",1!A1),"'",""),SUBSTITUTE(MID(CELL("address",1!A1),SEARCH("]",CELL("address",1!A1),1)+1,LEN(CELL("address",1!A1))-SEARCH("]",CELL("address",1!A1),1)),"'",""))</f>
        <v>1!$A$1</v>
      </c>
    </row>
    <row r="10" spans="1:3" ht="12.75">
      <c r="A10" s="682">
        <v>2</v>
      </c>
      <c r="B10" s="543" t="str">
        <f>2!A3</f>
        <v>2021. ÉVI ZÁRSZÁMADSÁS</v>
      </c>
      <c r="C10" s="544" t="str">
        <f ca="1">HYPERLINK(SUBSTITUTE(CELL("address",2!A1),"'",""),SUBSTITUTE(MID(CELL("address",2!A1),SEARCH("]",CELL("address",2!A1),1)+1,LEN(CELL("address",2!A1))-SEARCH("]",CELL("address",2!A1),1)),"'",""))</f>
        <v>2!$A$1</v>
      </c>
    </row>
    <row r="11" spans="1:3" ht="12.75">
      <c r="A11" s="682">
        <v>3</v>
      </c>
      <c r="B11" s="543" t="str">
        <f>3!A3</f>
        <v>2021. ÉVI ZÁRSZÁMADSÁS</v>
      </c>
      <c r="C11" s="544" t="str">
        <f ca="1">HYPERLINK(SUBSTITUTE(CELL("address",3!A1),"'",""),SUBSTITUTE(MID(CELL("address",3!A1),SEARCH("]",CELL("address",3!A1),1)+1,LEN(CELL("address",3!A1))-SEARCH("]",CELL("address",3!A1),1)),"'",""))</f>
        <v>3!$A$1</v>
      </c>
    </row>
    <row r="12" spans="1:3" ht="12.75">
      <c r="A12" s="682">
        <v>4</v>
      </c>
      <c r="B12" s="543" t="str">
        <f>4!A3</f>
        <v>2021. ÉVI ZÁRSZÁMADSÁS</v>
      </c>
      <c r="C12" s="544" t="str">
        <f ca="1">HYPERLINK(SUBSTITUTE(CELL("address",4!A1),"'",""),SUBSTITUTE(MID(CELL("address",4!A1),SEARCH("]",CELL("address",4!A1),1)+1,LEN(CELL("address",4!A1))-SEARCH("]",CELL("address",4!A1),1)),"'",""))</f>
        <v>4!$A$1</v>
      </c>
    </row>
    <row r="13" spans="1:3" ht="12.75">
      <c r="A13" s="682">
        <v>5</v>
      </c>
      <c r="B13" s="543" t="s">
        <v>582</v>
      </c>
      <c r="C13" s="544" t="str">
        <f ca="1">HYPERLINK(SUBSTITUTE(CELL("address",5!A1),"'",""),SUBSTITUTE(MID(CELL("address",5!A1),SEARCH("]",CELL("address",5!A1),1)+1,LEN(CELL("address",5!A1))-SEARCH("]",CELL("address",5!A1),1)),"'",""))</f>
        <v>5!$A$1</v>
      </c>
    </row>
    <row r="14" spans="1:3" ht="12.75">
      <c r="A14" s="682">
        <v>6</v>
      </c>
      <c r="B14" s="543" t="s">
        <v>583</v>
      </c>
      <c r="C14" s="544" t="str">
        <f ca="1">HYPERLINK(SUBSTITUTE(CELL("address",6!A1),"'",""),SUBSTITUTE(MID(CELL("address",6!A1),SEARCH("]",CELL("address",6!A1),1)+1,LEN(CELL("address",6!A1))-SEARCH("]",CELL("address",6!A1),1)),"'",""))</f>
        <v>6!$A$1</v>
      </c>
    </row>
    <row r="15" spans="1:3" ht="12.75">
      <c r="A15" s="682" t="s">
        <v>719</v>
      </c>
      <c r="B15" s="543" t="s">
        <v>584</v>
      </c>
      <c r="C15" s="544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ht="12.75">
      <c r="A16" s="682">
        <v>7</v>
      </c>
      <c r="B16" s="543" t="s">
        <v>585</v>
      </c>
      <c r="C16" s="544" t="str">
        <f ca="1">HYPERLINK(SUBSTITUTE(CELL("address",7!A1),"'",""),SUBSTITUTE(MID(CELL("address",7!A1),SEARCH("]",CELL("address",7!A1),1)+1,LEN(CELL("address",7!A1))-SEARCH("]",CELL("address",7!A1),1)),"'",""))</f>
        <v>7!$A$1</v>
      </c>
    </row>
    <row r="17" spans="1:3" ht="12.75">
      <c r="A17" s="682">
        <v>8</v>
      </c>
      <c r="B17" s="543" t="s">
        <v>586</v>
      </c>
      <c r="C17" s="544" t="str">
        <f ca="1">HYPERLINK(SUBSTITUTE(CELL("address",8!A1),"'",""),SUBSTITUTE(MID(CELL("address",8!A1),SEARCH("]",CELL("address",8!A1),1)+1,LEN(CELL("address",8!A1))-SEARCH("]",CELL("address",8!A1),1)),"'",""))</f>
        <v>8!$A$1</v>
      </c>
    </row>
    <row r="18" spans="1:3" ht="12.75">
      <c r="A18" s="682">
        <v>9</v>
      </c>
      <c r="B18" s="543" t="str">
        <f>9!A2</f>
        <v>Európai uniós támogatással megvalósuló projektek</v>
      </c>
      <c r="C18" s="544" t="str">
        <f ca="1">HYPERLINK(SUBSTITUTE(CELL("address",9!A1),"'",""),SUBSTITUTE(MID(CELL("address",9!A1),SEARCH("]",CELL("address",9!A1),1)+1,LEN(CELL("address",9!A1))-SEARCH("]",CELL("address",9!A1),1)),"'",""))</f>
        <v>9!$A$1</v>
      </c>
    </row>
    <row r="19" spans="1:3" ht="12.75">
      <c r="A19" s="682">
        <v>10</v>
      </c>
      <c r="B19" s="543" t="s">
        <v>707</v>
      </c>
      <c r="C19" s="544" t="str">
        <f ca="1">HYPERLINK(SUBSTITUTE(CELL("address",'10'!A1),"'",""),SUBSTITUTE(MID(CELL("address",'10'!A1),SEARCH("]",CELL("address",'10'!A1),1)+1,LEN(CELL("address",'10'!A1))-SEARCH("]",CELL("address",'10'!A1),1)),"'",""))</f>
        <v>10!$A$1</v>
      </c>
    </row>
    <row r="20" spans="1:3" ht="12.75">
      <c r="A20" s="682">
        <v>11</v>
      </c>
      <c r="B20" s="543" t="s">
        <v>708</v>
      </c>
      <c r="C20" s="544" t="str">
        <f ca="1">HYPERLINK(SUBSTITUTE(CELL("address",'11'!A1),"'",""),SUBSTITUTE(MID(CELL("address",'11'!A1),SEARCH("]",CELL("address",'11'!A1),1)+1,LEN(CELL("address",'11'!A1))-SEARCH("]",CELL("address",'11'!A1),1)),"'",""))</f>
        <v>11!$A$1</v>
      </c>
    </row>
    <row r="21" spans="1:3" ht="12.75">
      <c r="A21" s="682">
        <v>12</v>
      </c>
      <c r="B21" s="543" t="s">
        <v>709</v>
      </c>
      <c r="C21" s="544" t="str">
        <f ca="1">HYPERLINK(SUBSTITUTE(CELL("address",'12'!A1),"'",""),SUBSTITUTE(MID(CELL("address",'12'!A1),SEARCH("]",CELL("address",'12'!A1),1)+1,LEN(CELL("address",'12'!A1))-SEARCH("]",CELL("address",'12'!A1),1)),"'",""))</f>
        <v>12!$A$1</v>
      </c>
    </row>
    <row r="22" spans="1:3" ht="12.75">
      <c r="A22" s="682">
        <v>13</v>
      </c>
      <c r="B22" s="543" t="s">
        <v>710</v>
      </c>
      <c r="C22" s="544" t="str">
        <f ca="1">HYPERLINK(SUBSTITUTE(CELL("address",'13'!A1),"'",""),SUBSTITUTE(MID(CELL("address",'13'!A1),SEARCH("]",CELL("address",'13'!A1),1)+1,LEN(CELL("address",'13'!A1))-SEARCH("]",CELL("address",'13'!A1),1)),"'",""))</f>
        <v>13!$A$1</v>
      </c>
    </row>
    <row r="23" spans="1:3" ht="12.75">
      <c r="A23" s="682">
        <v>14</v>
      </c>
      <c r="B23" t="s">
        <v>711</v>
      </c>
      <c r="C23" s="544" t="str">
        <f ca="1">HYPERLINK(SUBSTITUTE(CELL("address",'14'!A1),"'",""),SUBSTITUTE(MID(CELL("address",'14'!A1),SEARCH("]",CELL("address",'14'!A1),1)+1,LEN(CELL("address",'14'!A1))-SEARCH("]",CELL("address",'14'!A1),1)),"'",""))</f>
        <v>14!$A$1</v>
      </c>
    </row>
    <row r="24" spans="1:3" ht="12.75">
      <c r="A24" s="682">
        <v>15</v>
      </c>
      <c r="B24" t="s">
        <v>712</v>
      </c>
      <c r="C24" s="544" t="str">
        <f ca="1">HYPERLINK(SUBSTITUTE(CELL("address",'15'!A1),"'",""),SUBSTITUTE(MID(CELL("address",'15'!A1),SEARCH("]",CELL("address",'15'!A1),1)+1,LEN(CELL("address",'15'!A1))-SEARCH("]",CELL("address",'15'!A1),1)),"'",""))</f>
        <v>15!$A$1</v>
      </c>
    </row>
    <row r="25" spans="1:3" ht="12.75">
      <c r="A25" s="682">
        <v>16</v>
      </c>
      <c r="B25" t="s">
        <v>713</v>
      </c>
      <c r="C25" s="544" t="str">
        <f ca="1">HYPERLINK(SUBSTITUTE(CELL("address",'16'!A1),"'",""),SUBSTITUTE(MID(CELL("address",'16'!A1),SEARCH("]",CELL("address",'16'!A1),1)+1,LEN(CELL("address",'16'!A1))-SEARCH("]",CELL("address",'16'!A1),1)),"'",""))</f>
        <v>16!$A$1</v>
      </c>
    </row>
    <row r="26" spans="1:3" ht="12.75">
      <c r="A26" s="682">
        <v>17</v>
      </c>
      <c r="B26" t="s">
        <v>714</v>
      </c>
      <c r="C26" s="544" t="str">
        <f ca="1">HYPERLINK(SUBSTITUTE(CELL("address",'17'!A1),"'",""),SUBSTITUTE(MID(CELL("address",'17'!A1),SEARCH("]",CELL("address",'17'!A1),1)+1,LEN(CELL("address",'17'!A1))-SEARCH("]",CELL("address",'17'!A1),1)),"'",""))</f>
        <v>17!$A$1</v>
      </c>
    </row>
    <row r="27" spans="1:3" ht="12.75">
      <c r="A27" s="682">
        <v>18</v>
      </c>
      <c r="B27" t="s">
        <v>715</v>
      </c>
      <c r="C27" s="544" t="str">
        <f ca="1">HYPERLINK(SUBSTITUTE(CELL("address",'18'!A1),"'",""),SUBSTITUTE(MID(CELL("address",'18'!A1),SEARCH("]",CELL("address",'18'!A1),1)+1,LEN(CELL("address",'18'!A1))-SEARCH("]",CELL("address",'18'!A1),1)),"'",""))</f>
        <v>18!$A$1</v>
      </c>
    </row>
    <row r="28" spans="1:3" ht="12.75">
      <c r="A28" s="682">
        <v>19</v>
      </c>
      <c r="B28" t="s">
        <v>716</v>
      </c>
      <c r="C28" s="544" t="str">
        <f ca="1">HYPERLINK(SUBSTITUTE(CELL("address",'19'!A1),"'",""),SUBSTITUTE(MID(CELL("address",'19'!A1),SEARCH("]",CELL("address",'19'!A1),1)+1,LEN(CELL("address",'19'!A1))-SEARCH("]",CELL("address",'19'!A1),1)),"'",""))</f>
        <v>19!$A$1</v>
      </c>
    </row>
    <row r="29" spans="1:3" ht="12.75">
      <c r="A29" s="682">
        <v>20</v>
      </c>
      <c r="B29" t="s">
        <v>717</v>
      </c>
      <c r="C29" s="544" t="str">
        <f ca="1">HYPERLINK(SUBSTITUTE(CELL("address",'20'!A1),"'",""),SUBSTITUTE(MID(CELL("address",'20'!A1),SEARCH("]",CELL("address",'20'!A1),1)+1,LEN(CELL("address",'20'!A1))-SEARCH("]",CELL("address",'20'!A1),1)),"'",""))</f>
        <v>20!$A$1</v>
      </c>
    </row>
    <row r="30" spans="1:3" ht="12.75">
      <c r="A30" s="682">
        <v>21</v>
      </c>
      <c r="B30" t="s">
        <v>718</v>
      </c>
      <c r="C30" s="544" t="str">
        <f ca="1">HYPERLINK(SUBSTITUTE(CELL("address",'21'!A1),"'",""),SUBSTITUTE(MID(CELL("address",'21'!A1),SEARCH("]",CELL("address",'21'!A1),1)+1,LEN(CELL("address",'21'!A1))-SEARCH("]",CELL("address",'21'!A1),1)),"'",""))</f>
        <v>21!$A$1</v>
      </c>
    </row>
    <row r="31" spans="1:3" ht="12.75">
      <c r="A31" s="682">
        <v>22</v>
      </c>
      <c r="B31" t="str">
        <f>PROPER('22'!A3)</f>
        <v>Költségvetési Szervek Maradványának Alakulása</v>
      </c>
      <c r="C31" s="544" t="str">
        <f ca="1">HYPERLINK(SUBSTITUTE(CELL("address",'22'!A1),"'",""),SUBSTITUTE(MID(CELL("address",'22'!A1),SEARCH("]",CELL("address",'22'!A1),1)+1,LEN(CELL("address",'22'!A1))-SEARCH("]",CELL("address",'22'!A1),1)),"'",""))</f>
        <v>22!$A$1</v>
      </c>
    </row>
    <row r="32" spans="1:3" ht="12.75">
      <c r="A32" s="682">
        <v>23</v>
      </c>
      <c r="B32" t="str">
        <f>'23'!B1</f>
        <v>2021. évi általános működés és ágazati feladatok támogatásának alakulása jogcímenként</v>
      </c>
      <c r="C32" s="544" t="str">
        <f ca="1">HYPERLINK(SUBSTITUTE(CELL("address",'23'!A1),"'",""),SUBSTITUTE(MID(CELL("address",'23'!A1),SEARCH("]",CELL("address",'23'!A1),1)+1,LEN(CELL("address",'23'!A1))-SEARCH("]",CELL("address",'23'!A1),1)),"'",""))</f>
        <v>23!$A$1</v>
      </c>
    </row>
    <row r="33" spans="1:3" ht="12.75">
      <c r="A33" s="682">
        <v>24</v>
      </c>
      <c r="B33" t="str">
        <f>CONCATENATE(PROPER('24'!A2)," ",LOWER('24'!A3))</f>
        <v>Balatonvilágos Község Önkormányzata 2021. évi zárszámadásának pénzügyi mérlege</v>
      </c>
      <c r="C33" s="544" t="str">
        <f ca="1">HYPERLINK(SUBSTITUTE(CELL("address",'24'!A1),"'",""),SUBSTITUTE(MID(CELL("address",'24'!A1),SEARCH("]",CELL("address",'24'!A1),1)+1,LEN(CELL("address",'24'!A1))-SEARCH("]",CELL("address",'24'!A1),1)),"'",""))</f>
        <v>24!$A$1</v>
      </c>
    </row>
    <row r="34" spans="1:3" ht="12.75">
      <c r="A34" s="682">
        <v>25</v>
      </c>
      <c r="B34" t="str">
        <f>'25'!A1</f>
        <v>Az önkormányzat által nyújtott hitel és kölcsön alakulása lejárat és eszközök szerinti bontásban</v>
      </c>
      <c r="C34" s="544" t="str">
        <f ca="1">HYPERLINK(SUBSTITUTE(CELL("address",'25'!A1),"'",""),SUBSTITUTE(MID(CELL("address",'25'!A1),SEARCH("]",CELL("address",'25'!A1),1)+1,LEN(CELL("address",'25'!A1))-SEARCH("]",CELL("address",'25'!A1),1)),"'",""))</f>
        <v>25!$A$1</v>
      </c>
    </row>
    <row r="35" spans="1:3" ht="12.75">
      <c r="A35" s="682">
        <v>26</v>
      </c>
      <c r="B35" t="str">
        <f>'26'!A3</f>
        <v>Az önkormányzat által adott közvetett támogatások</v>
      </c>
      <c r="C35" s="544" t="str">
        <f ca="1">HYPERLINK(SUBSTITUTE(CELL("address",'26'!A1),"'",""),SUBSTITUTE(MID(CELL("address",'26'!A1),SEARCH("]",CELL("address",'26'!A1),1)+1,LEN(CELL("address",'26'!A1))-SEARCH("]",CELL("address",'26'!A1),1)),"'",""))</f>
        <v>26!$A$1</v>
      </c>
    </row>
    <row r="36" spans="1:3" ht="12.75">
      <c r="A36" s="682">
        <v>27</v>
      </c>
      <c r="B36" t="str">
        <f>CONCATENATE(PROPER('27'!A3)," ",LOWER('27'!A4))</f>
        <v>K I M U T A T Á S a 2021. évi céljelleggel juttatott támogatások felhasználásáról</v>
      </c>
      <c r="C36" s="544" t="str">
        <f ca="1">HYPERLINK(SUBSTITUTE(CELL("address",'27'!A1),"'",""),SUBSTITUTE(MID(CELL("address",'27'!A1),SEARCH("]",CELL("address",'27'!A1),1)+1,LEN(CELL("address",'27'!A1))-SEARCH("]",CELL("address",'27'!A1),1)),"'",""))</f>
        <v>27!$A$1</v>
      </c>
    </row>
    <row r="37" spans="1:3" ht="12.75">
      <c r="A37" s="682">
        <v>28</v>
      </c>
      <c r="B37" t="str">
        <f>CONCATENATE(PROPER('28'!B2)," ",'28'!B3)</f>
        <v>Vagyonkimutatás a könyvviteli mérlegben értékkel szerplő eszközökről</v>
      </c>
      <c r="C37" s="544" t="str">
        <f ca="1">HYPERLINK(SUBSTITUTE(CELL("address",'28'!B1),"'",""),SUBSTITUTE(MID(CELL("address",'28'!B1),SEARCH("]",CELL("address",'28'!B1),1)+1,LEN(CELL("address",'28'!B1))-SEARCH("]",CELL("address",'28'!B1),1)),"'",""))</f>
        <v>28!$B$1</v>
      </c>
    </row>
    <row r="38" spans="1:3" ht="12.75">
      <c r="A38" s="682">
        <v>29</v>
      </c>
      <c r="B38" t="str">
        <f>CONCATENATE(PROPER('29'!B3)," ",'29'!B4)</f>
        <v>Vagyonkimutatás a könyvviteli mérlegben értékkel szereplő forrásokról</v>
      </c>
      <c r="C38" s="544" t="str">
        <f ca="1">HYPERLINK(SUBSTITUTE(CELL("address",'29'!B1),"'",""),SUBSTITUTE(MID(CELL("address",'29'!B1),SEARCH("]",CELL("address",'29'!B1),1)+1,LEN(CELL("address",'29'!B1))-SEARCH("]",CELL("address",'29'!B1),1)),"'",""))</f>
        <v>29!$B$1</v>
      </c>
    </row>
    <row r="39" spans="1:3" ht="12.75">
      <c r="A39" s="682">
        <v>30</v>
      </c>
      <c r="B39" t="str">
        <f>CONCATENATE(PROPER('30'!A3)," ",'30'!A4)</f>
        <v>Vagyonkimutatás az érték nélkül nyilvántartott eszkzözkről</v>
      </c>
      <c r="C39" s="544" t="str">
        <f ca="1">HYPERLINK(SUBSTITUTE(CELL("address",'30'!A1),"'",""),SUBSTITUTE(MID(CELL("address",'30'!A1),SEARCH("]",CELL("address",'30'!A1),1)+1,LEN(CELL("address",'30'!A1))-SEARCH("]",CELL("address",'30'!A1),1)),"'",""))</f>
        <v>30!$A$1</v>
      </c>
    </row>
    <row r="40" spans="1:3" ht="12.75">
      <c r="A40" s="682">
        <v>31</v>
      </c>
      <c r="B40" t="str">
        <f>CONCATENATE('31'!A2,'31'!A3)</f>
        <v>Balatonvilágos Község Önkormányzata tulajdonában álló gazdálkodó szervezetek működéséből származókötelezettségek és részesedések alakulása 2021-ben</v>
      </c>
      <c r="C40" s="544" t="str">
        <f ca="1">HYPERLINK(SUBSTITUTE(CELL("address",'31'!A1),"'",""),SUBSTITUTE(MID(CELL("address",'31'!A1),SEARCH("]",CELL("address",'31'!A1),1)+1,LEN(CELL("address",'31'!A1))-SEARCH("]",CELL("address",'31'!A1),1)),"'",""))</f>
        <v>31!$A$1</v>
      </c>
    </row>
    <row r="41" spans="1:3" ht="12.75">
      <c r="A41" s="682">
        <v>32</v>
      </c>
      <c r="B41" t="s">
        <v>588</v>
      </c>
      <c r="C41" s="544" t="str">
        <f ca="1">HYPERLINK(SUBSTITUTE(CELL("address",'32'!A1),"'",""),SUBSTITUTE(MID(CELL("address",'32'!A1),SEARCH("]",CELL("address",'32'!A1),1)+1,LEN(CELL("address",'32'!A1))-SEARCH("]",CELL("address",'32'!A1),1)),"'",""))</f>
        <v>32!$A$1</v>
      </c>
    </row>
  </sheetData>
  <sheetProtection/>
  <mergeCells count="2">
    <mergeCell ref="A2:C2"/>
    <mergeCell ref="A6:C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9">
      <selection activeCell="H37" sqref="H3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57" t="s">
        <v>501</v>
      </c>
      <c r="B1" s="70"/>
      <c r="C1" s="70"/>
      <c r="D1" s="70"/>
      <c r="E1" s="258" t="s">
        <v>104</v>
      </c>
    </row>
    <row r="2" spans="1:5" ht="12.75">
      <c r="A2" s="70"/>
      <c r="B2" s="70"/>
      <c r="C2" s="70"/>
      <c r="D2" s="70"/>
      <c r="E2" s="70"/>
    </row>
    <row r="3" spans="1:5" ht="12.75">
      <c r="A3" s="259"/>
      <c r="B3" s="260"/>
      <c r="C3" s="259"/>
      <c r="D3" s="261"/>
      <c r="E3" s="260"/>
    </row>
    <row r="4" spans="1:5" ht="15.75">
      <c r="A4" s="72" t="str">
        <f>+Z_ÖSSZEFÜGGÉSEK!A6</f>
        <v>2021. évi eredeti előirányzat BEVÉTELEK</v>
      </c>
      <c r="B4" s="262"/>
      <c r="C4" s="263"/>
      <c r="D4" s="261"/>
      <c r="E4" s="260"/>
    </row>
    <row r="5" spans="1:5" ht="12.75">
      <c r="A5" s="259"/>
      <c r="B5" s="260"/>
      <c r="C5" s="259"/>
      <c r="D5" s="261"/>
      <c r="E5" s="260"/>
    </row>
    <row r="6" spans="1:5" ht="12.75">
      <c r="A6" s="259" t="s">
        <v>458</v>
      </c>
      <c r="B6" s="260">
        <f>+1!C70</f>
        <v>380409502</v>
      </c>
      <c r="C6" s="259" t="s">
        <v>423</v>
      </c>
      <c r="D6" s="261">
        <f>+5!C18+6!C17</f>
        <v>380409502</v>
      </c>
      <c r="E6" s="260">
        <f>+B6-D6</f>
        <v>0</v>
      </c>
    </row>
    <row r="7" spans="1:5" ht="12.75">
      <c r="A7" s="259" t="s">
        <v>474</v>
      </c>
      <c r="B7" s="260">
        <f>+1!C94</f>
        <v>235411766</v>
      </c>
      <c r="C7" s="259" t="s">
        <v>429</v>
      </c>
      <c r="D7" s="261">
        <f>+5!C29+6!C30</f>
        <v>235411766</v>
      </c>
      <c r="E7" s="260">
        <f>+B7-D7</f>
        <v>0</v>
      </c>
    </row>
    <row r="8" spans="1:5" ht="12.75">
      <c r="A8" s="259" t="s">
        <v>475</v>
      </c>
      <c r="B8" s="260">
        <f>+1!C95</f>
        <v>615821268</v>
      </c>
      <c r="C8" s="259" t="s">
        <v>430</v>
      </c>
      <c r="D8" s="261">
        <f>+5!C30+6!C31</f>
        <v>615821268</v>
      </c>
      <c r="E8" s="260">
        <f>+B8-D8</f>
        <v>0</v>
      </c>
    </row>
    <row r="9" spans="1:5" ht="12.75">
      <c r="A9" s="259"/>
      <c r="B9" s="260"/>
      <c r="C9" s="259"/>
      <c r="D9" s="261"/>
      <c r="E9" s="260"/>
    </row>
    <row r="10" spans="1:5" ht="15.75">
      <c r="A10" s="72" t="str">
        <f>+Z_ÖSSZEFÜGGÉSEK!A13</f>
        <v>2021. évi módosított előirányzat BEVÉTELEK</v>
      </c>
      <c r="B10" s="262"/>
      <c r="C10" s="263"/>
      <c r="D10" s="261"/>
      <c r="E10" s="260"/>
    </row>
    <row r="11" spans="1:5" ht="12.75">
      <c r="A11" s="259"/>
      <c r="B11" s="260"/>
      <c r="C11" s="259"/>
      <c r="D11" s="261"/>
      <c r="E11" s="260"/>
    </row>
    <row r="12" spans="1:5" ht="12.75">
      <c r="A12" s="259" t="s">
        <v>459</v>
      </c>
      <c r="B12" s="260">
        <f>+1!D70</f>
        <v>532641136</v>
      </c>
      <c r="C12" s="259" t="s">
        <v>424</v>
      </c>
      <c r="D12" s="261">
        <f>+5!D18+6!D17</f>
        <v>532641136</v>
      </c>
      <c r="E12" s="260">
        <f>+B12-D12</f>
        <v>0</v>
      </c>
    </row>
    <row r="13" spans="1:5" ht="12.75">
      <c r="A13" s="259" t="s">
        <v>460</v>
      </c>
      <c r="B13" s="260">
        <f>+1!D94</f>
        <v>321089791</v>
      </c>
      <c r="C13" s="259" t="s">
        <v>431</v>
      </c>
      <c r="D13" s="261">
        <f>+5!D29+6!D30</f>
        <v>321089791</v>
      </c>
      <c r="E13" s="260">
        <f>+B13-D13</f>
        <v>0</v>
      </c>
    </row>
    <row r="14" spans="1:5" ht="12.75">
      <c r="A14" s="259" t="s">
        <v>461</v>
      </c>
      <c r="B14" s="260">
        <f>+1!D95</f>
        <v>853730927</v>
      </c>
      <c r="C14" s="259" t="s">
        <v>432</v>
      </c>
      <c r="D14" s="261">
        <f>+5!D30+6!D31</f>
        <v>853730927</v>
      </c>
      <c r="E14" s="260">
        <f>+B14-D14</f>
        <v>0</v>
      </c>
    </row>
    <row r="15" spans="1:5" ht="12.75">
      <c r="A15" s="259"/>
      <c r="B15" s="260"/>
      <c r="C15" s="259"/>
      <c r="D15" s="261"/>
      <c r="E15" s="260"/>
    </row>
    <row r="16" spans="1:5" ht="14.25">
      <c r="A16" s="264" t="str">
        <f>+Z_ÖSSZEFÜGGÉSEK!A19</f>
        <v>2021.évi teljesített BEVÉTELEK</v>
      </c>
      <c r="B16" s="71"/>
      <c r="C16" s="263"/>
      <c r="D16" s="261"/>
      <c r="E16" s="260"/>
    </row>
    <row r="17" spans="1:5" ht="12.75">
      <c r="A17" s="259"/>
      <c r="B17" s="260"/>
      <c r="C17" s="259"/>
      <c r="D17" s="261"/>
      <c r="E17" s="260"/>
    </row>
    <row r="18" spans="1:5" ht="12.75">
      <c r="A18" s="259" t="s">
        <v>462</v>
      </c>
      <c r="B18" s="260">
        <f>+1!E70</f>
        <v>527026825</v>
      </c>
      <c r="C18" s="259" t="s">
        <v>425</v>
      </c>
      <c r="D18" s="261">
        <f>+5!E18+6!E17</f>
        <v>527026825</v>
      </c>
      <c r="E18" s="260">
        <f>+B18-D18</f>
        <v>0</v>
      </c>
    </row>
    <row r="19" spans="1:5" ht="12.75">
      <c r="A19" s="259" t="s">
        <v>463</v>
      </c>
      <c r="B19" s="260">
        <f>+1!E94</f>
        <v>321089791</v>
      </c>
      <c r="C19" s="259" t="s">
        <v>433</v>
      </c>
      <c r="D19" s="261">
        <f>+5!E29+6!E30</f>
        <v>321089791</v>
      </c>
      <c r="E19" s="260">
        <f>+B19-D19</f>
        <v>0</v>
      </c>
    </row>
    <row r="20" spans="1:5" ht="12.75">
      <c r="A20" s="259" t="s">
        <v>464</v>
      </c>
      <c r="B20" s="260">
        <f>+1!E95</f>
        <v>848116616</v>
      </c>
      <c r="C20" s="259" t="s">
        <v>434</v>
      </c>
      <c r="D20" s="261">
        <f>+5!E30+6!E31</f>
        <v>848116616</v>
      </c>
      <c r="E20" s="260">
        <f>+B20-D20</f>
        <v>0</v>
      </c>
    </row>
    <row r="21" spans="1:5" ht="12.75">
      <c r="A21" s="259"/>
      <c r="B21" s="260"/>
      <c r="C21" s="259"/>
      <c r="D21" s="261"/>
      <c r="E21" s="260"/>
    </row>
    <row r="22" spans="1:5" ht="15.75">
      <c r="A22" s="72" t="str">
        <f>+Z_ÖSSZEFÜGGÉSEK!A25</f>
        <v>2021. évi eredeti előirányzat KIADÁSOK</v>
      </c>
      <c r="B22" s="262"/>
      <c r="C22" s="263"/>
      <c r="D22" s="261"/>
      <c r="E22" s="260"/>
    </row>
    <row r="23" spans="1:5" ht="12.75">
      <c r="A23" s="259"/>
      <c r="B23" s="260"/>
      <c r="C23" s="259"/>
      <c r="D23" s="261"/>
      <c r="E23" s="260"/>
    </row>
    <row r="24" spans="1:5" ht="12.75">
      <c r="A24" s="259" t="s">
        <v>476</v>
      </c>
      <c r="B24" s="260">
        <f>+1!C137</f>
        <v>611444324</v>
      </c>
      <c r="C24" s="259" t="s">
        <v>426</v>
      </c>
      <c r="D24" s="261">
        <f>+5!G18+6!G17</f>
        <v>611444324</v>
      </c>
      <c r="E24" s="260">
        <f>+B24-D24</f>
        <v>0</v>
      </c>
    </row>
    <row r="25" spans="1:5" ht="12.75">
      <c r="A25" s="259" t="s">
        <v>466</v>
      </c>
      <c r="B25" s="260">
        <f>+1!C162</f>
        <v>4376944</v>
      </c>
      <c r="C25" s="259" t="s">
        <v>435</v>
      </c>
      <c r="D25" s="261">
        <f>+5!G29+6!G30</f>
        <v>4376944</v>
      </c>
      <c r="E25" s="260">
        <f>+B25-D25</f>
        <v>0</v>
      </c>
    </row>
    <row r="26" spans="1:5" ht="12.75">
      <c r="A26" s="259" t="s">
        <v>467</v>
      </c>
      <c r="B26" s="260">
        <f>+1!C163</f>
        <v>615821268</v>
      </c>
      <c r="C26" s="259" t="s">
        <v>436</v>
      </c>
      <c r="D26" s="261">
        <f>+5!G30+6!G31</f>
        <v>615821268</v>
      </c>
      <c r="E26" s="260">
        <f>+B26-D26</f>
        <v>0</v>
      </c>
    </row>
    <row r="27" spans="1:5" ht="12.75">
      <c r="A27" s="259"/>
      <c r="B27" s="260"/>
      <c r="C27" s="259"/>
      <c r="D27" s="261"/>
      <c r="E27" s="260"/>
    </row>
    <row r="28" spans="1:5" ht="15.75">
      <c r="A28" s="72" t="str">
        <f>+Z_ÖSSZEFÜGGÉSEK!A31</f>
        <v>2021. évi módosított előirányzat KIADÁSOK</v>
      </c>
      <c r="B28" s="262"/>
      <c r="C28" s="263"/>
      <c r="D28" s="261"/>
      <c r="E28" s="260"/>
    </row>
    <row r="29" spans="1:5" ht="12.75">
      <c r="A29" s="259"/>
      <c r="B29" s="260"/>
      <c r="C29" s="259"/>
      <c r="D29" s="261"/>
      <c r="E29" s="260"/>
    </row>
    <row r="30" spans="1:5" ht="12.75">
      <c r="A30" s="259" t="s">
        <v>468</v>
      </c>
      <c r="B30" s="260">
        <f>+1!D137</f>
        <v>849353983</v>
      </c>
      <c r="C30" s="259" t="s">
        <v>427</v>
      </c>
      <c r="D30" s="261">
        <f>+5!H18+6!H17</f>
        <v>849353983</v>
      </c>
      <c r="E30" s="260">
        <f>+B30-D30</f>
        <v>0</v>
      </c>
    </row>
    <row r="31" spans="1:5" ht="12.75">
      <c r="A31" s="259" t="s">
        <v>469</v>
      </c>
      <c r="B31" s="260">
        <f>+1!D162</f>
        <v>4376944</v>
      </c>
      <c r="C31" s="259" t="s">
        <v>437</v>
      </c>
      <c r="D31" s="261">
        <f>+5!H29+6!H30</f>
        <v>4376944</v>
      </c>
      <c r="E31" s="260">
        <f>+B31-D31</f>
        <v>0</v>
      </c>
    </row>
    <row r="32" spans="1:5" ht="12.75">
      <c r="A32" s="259" t="s">
        <v>470</v>
      </c>
      <c r="B32" s="260">
        <f>+1!D163</f>
        <v>853730927</v>
      </c>
      <c r="C32" s="259" t="s">
        <v>438</v>
      </c>
      <c r="D32" s="261">
        <f>+5!H30+6!H31</f>
        <v>853730927</v>
      </c>
      <c r="E32" s="260">
        <f>+B32-D32</f>
        <v>0</v>
      </c>
    </row>
    <row r="33" spans="1:5" ht="12.75">
      <c r="A33" s="259"/>
      <c r="B33" s="260"/>
      <c r="C33" s="259"/>
      <c r="D33" s="261"/>
      <c r="E33" s="260"/>
    </row>
    <row r="34" spans="1:5" ht="15.75">
      <c r="A34" s="265" t="str">
        <f>+Z_ÖSSZEFÜGGÉSEK!A37</f>
        <v>2021.évi teljesített KIADÁSOK</v>
      </c>
      <c r="B34" s="262"/>
      <c r="C34" s="263"/>
      <c r="D34" s="261"/>
      <c r="E34" s="260"/>
    </row>
    <row r="35" spans="1:5" ht="12.75">
      <c r="A35" s="259"/>
      <c r="B35" s="260"/>
      <c r="C35" s="259"/>
      <c r="D35" s="261"/>
      <c r="E35" s="260"/>
    </row>
    <row r="36" spans="1:5" ht="12.75">
      <c r="A36" s="259" t="s">
        <v>471</v>
      </c>
      <c r="B36" s="260">
        <f>+1!E137</f>
        <v>577026050</v>
      </c>
      <c r="C36" s="259" t="s">
        <v>428</v>
      </c>
      <c r="D36" s="261">
        <f>+5!I18+6!I17</f>
        <v>577026050</v>
      </c>
      <c r="E36" s="260">
        <f>+B36-D36</f>
        <v>0</v>
      </c>
    </row>
    <row r="37" spans="1:5" ht="12.75">
      <c r="A37" s="259" t="s">
        <v>472</v>
      </c>
      <c r="B37" s="260">
        <f>+1!E162</f>
        <v>4376944</v>
      </c>
      <c r="C37" s="259" t="s">
        <v>439</v>
      </c>
      <c r="D37" s="261">
        <f>+5!I29+6!I30</f>
        <v>4376944</v>
      </c>
      <c r="E37" s="260">
        <f>+B37-D37</f>
        <v>0</v>
      </c>
    </row>
    <row r="38" spans="1:5" ht="12.75">
      <c r="A38" s="259" t="s">
        <v>477</v>
      </c>
      <c r="B38" s="260">
        <f>+1!E163</f>
        <v>581402994</v>
      </c>
      <c r="C38" s="259" t="s">
        <v>440</v>
      </c>
      <c r="D38" s="261">
        <f>+5!I30+6!I31</f>
        <v>581402994</v>
      </c>
      <c r="E38" s="260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50"/>
  <sheetViews>
    <sheetView view="pageBreakPreview" zoomScale="60" zoomScaleNormal="120" workbookViewId="0" topLeftCell="A1">
      <selection activeCell="B1" sqref="B1:G1"/>
    </sheetView>
  </sheetViews>
  <sheetFormatPr defaultColWidth="9.00390625" defaultRowHeight="12.75"/>
  <cols>
    <col min="1" max="1" width="47.125" style="27" customWidth="1"/>
    <col min="2" max="2" width="15.625" style="26" customWidth="1"/>
    <col min="3" max="3" width="16.375" style="26" customWidth="1"/>
    <col min="4" max="5" width="18.00390625" style="26" customWidth="1"/>
    <col min="6" max="6" width="16.625" style="26" customWidth="1"/>
    <col min="7" max="7" width="18.875" style="32" customWidth="1"/>
    <col min="8" max="8" width="13.875" style="26" customWidth="1"/>
    <col min="9" max="16384" width="9.375" style="26" customWidth="1"/>
  </cols>
  <sheetData>
    <row r="1" spans="1:7" ht="15">
      <c r="A1" s="374"/>
      <c r="B1" s="852" t="s">
        <v>1250</v>
      </c>
      <c r="C1" s="853"/>
      <c r="D1" s="853"/>
      <c r="E1" s="853"/>
      <c r="F1" s="853"/>
      <c r="G1" s="853"/>
    </row>
    <row r="2" spans="1:7" ht="12.75">
      <c r="A2" s="374"/>
      <c r="B2" s="375"/>
      <c r="C2" s="375"/>
      <c r="D2" s="375"/>
      <c r="E2" s="375"/>
      <c r="F2" s="375"/>
      <c r="G2" s="375"/>
    </row>
    <row r="3" spans="1:7" ht="25.5" customHeight="1">
      <c r="A3" s="851" t="s">
        <v>502</v>
      </c>
      <c r="B3" s="851"/>
      <c r="C3" s="851"/>
      <c r="D3" s="851"/>
      <c r="E3" s="851"/>
      <c r="F3" s="851"/>
      <c r="G3" s="851"/>
    </row>
    <row r="4" spans="1:7" ht="22.5" customHeight="1" thickBot="1">
      <c r="A4" s="374"/>
      <c r="B4" s="375"/>
      <c r="C4" s="375"/>
      <c r="D4" s="375"/>
      <c r="E4" s="375"/>
      <c r="F4" s="375"/>
      <c r="G4" s="376" t="str">
        <f>'[1]Z_2.2.sz.mell'!I2</f>
        <v> Forintban!</v>
      </c>
    </row>
    <row r="5" spans="1:7" s="28" customFormat="1" ht="44.25" customHeight="1" thickBot="1">
      <c r="A5" s="377" t="s">
        <v>48</v>
      </c>
      <c r="B5" s="343" t="s">
        <v>759</v>
      </c>
      <c r="C5" s="343" t="s">
        <v>49</v>
      </c>
      <c r="D5" s="343" t="s">
        <v>724</v>
      </c>
      <c r="E5" s="343" t="s">
        <v>725</v>
      </c>
      <c r="F5" s="343" t="s">
        <v>726</v>
      </c>
      <c r="G5" s="344" t="s">
        <v>727</v>
      </c>
    </row>
    <row r="6" spans="1:7" s="32" customFormat="1" ht="12" customHeight="1" thickBot="1">
      <c r="A6" s="378" t="s">
        <v>384</v>
      </c>
      <c r="B6" s="379" t="s">
        <v>385</v>
      </c>
      <c r="C6" s="379" t="s">
        <v>386</v>
      </c>
      <c r="D6" s="379" t="s">
        <v>388</v>
      </c>
      <c r="E6" s="379" t="s">
        <v>387</v>
      </c>
      <c r="F6" s="379" t="s">
        <v>389</v>
      </c>
      <c r="G6" s="380" t="s">
        <v>441</v>
      </c>
    </row>
    <row r="7" spans="1:7" s="32" customFormat="1" ht="12" customHeight="1">
      <c r="A7" s="726" t="s">
        <v>775</v>
      </c>
      <c r="B7" s="727">
        <v>500000</v>
      </c>
      <c r="C7" s="728" t="s">
        <v>752</v>
      </c>
      <c r="D7" s="727"/>
      <c r="E7" s="727">
        <v>505500</v>
      </c>
      <c r="F7" s="730">
        <v>505500</v>
      </c>
      <c r="G7" s="740">
        <f aca="true" t="shared" si="0" ref="G7:G36">D7+F7</f>
        <v>505500</v>
      </c>
    </row>
    <row r="8" spans="1:7" s="32" customFormat="1" ht="12" customHeight="1">
      <c r="A8" s="729" t="s">
        <v>776</v>
      </c>
      <c r="B8" s="730">
        <v>300400</v>
      </c>
      <c r="C8" s="731" t="s">
        <v>752</v>
      </c>
      <c r="D8" s="730"/>
      <c r="E8" s="730">
        <v>306900</v>
      </c>
      <c r="F8" s="730">
        <v>272368</v>
      </c>
      <c r="G8" s="741">
        <f t="shared" si="0"/>
        <v>272368</v>
      </c>
    </row>
    <row r="9" spans="1:7" s="32" customFormat="1" ht="12" customHeight="1">
      <c r="A9" s="729" t="s">
        <v>777</v>
      </c>
      <c r="B9" s="730">
        <v>832000</v>
      </c>
      <c r="C9" s="731" t="s">
        <v>752</v>
      </c>
      <c r="D9" s="730"/>
      <c r="E9" s="730">
        <v>724240</v>
      </c>
      <c r="F9" s="730">
        <v>525956</v>
      </c>
      <c r="G9" s="741">
        <f t="shared" si="0"/>
        <v>525956</v>
      </c>
    </row>
    <row r="10" spans="1:7" s="32" customFormat="1" ht="12" customHeight="1">
      <c r="A10" s="732" t="s">
        <v>778</v>
      </c>
      <c r="B10" s="730"/>
      <c r="C10" s="731" t="s">
        <v>752</v>
      </c>
      <c r="D10" s="730"/>
      <c r="E10" s="730">
        <v>29990</v>
      </c>
      <c r="F10" s="730">
        <v>29990</v>
      </c>
      <c r="G10" s="741">
        <f t="shared" si="0"/>
        <v>29990</v>
      </c>
    </row>
    <row r="11" spans="1:7" s="32" customFormat="1" ht="12" customHeight="1">
      <c r="A11" s="732" t="s">
        <v>779</v>
      </c>
      <c r="B11" s="730">
        <v>0</v>
      </c>
      <c r="C11" s="731" t="s">
        <v>752</v>
      </c>
      <c r="D11" s="730"/>
      <c r="E11" s="730">
        <v>3733800</v>
      </c>
      <c r="F11" s="730">
        <v>3733800</v>
      </c>
      <c r="G11" s="741">
        <f t="shared" si="0"/>
        <v>3733800</v>
      </c>
    </row>
    <row r="12" spans="1:7" s="32" customFormat="1" ht="12" customHeight="1">
      <c r="A12" s="732" t="s">
        <v>780</v>
      </c>
      <c r="B12" s="730">
        <v>400000</v>
      </c>
      <c r="C12" s="731" t="s">
        <v>752</v>
      </c>
      <c r="D12" s="730"/>
      <c r="E12" s="730">
        <v>400000</v>
      </c>
      <c r="F12" s="730"/>
      <c r="G12" s="741">
        <f t="shared" si="0"/>
        <v>0</v>
      </c>
    </row>
    <row r="13" spans="1:7" s="32" customFormat="1" ht="12" customHeight="1">
      <c r="A13" s="732" t="s">
        <v>781</v>
      </c>
      <c r="B13" s="730">
        <v>95250</v>
      </c>
      <c r="C13" s="731" t="s">
        <v>752</v>
      </c>
      <c r="D13" s="730"/>
      <c r="E13" s="730">
        <v>95250</v>
      </c>
      <c r="F13" s="730">
        <v>95250</v>
      </c>
      <c r="G13" s="741">
        <f t="shared" si="0"/>
        <v>95250</v>
      </c>
    </row>
    <row r="14" spans="1:7" s="32" customFormat="1" ht="12" customHeight="1">
      <c r="A14" s="729" t="s">
        <v>782</v>
      </c>
      <c r="B14" s="730">
        <v>150000</v>
      </c>
      <c r="C14" s="731" t="s">
        <v>752</v>
      </c>
      <c r="D14" s="730"/>
      <c r="E14" s="730">
        <v>150000</v>
      </c>
      <c r="F14" s="730">
        <v>110000</v>
      </c>
      <c r="G14" s="741">
        <f t="shared" si="0"/>
        <v>110000</v>
      </c>
    </row>
    <row r="15" spans="1:7" s="32" customFormat="1" ht="12" customHeight="1">
      <c r="A15" s="732" t="s">
        <v>783</v>
      </c>
      <c r="B15" s="730">
        <v>2000000</v>
      </c>
      <c r="C15" s="731" t="s">
        <v>752</v>
      </c>
      <c r="D15" s="730"/>
      <c r="E15" s="730">
        <v>2000000</v>
      </c>
      <c r="F15" s="730">
        <v>1599999</v>
      </c>
      <c r="G15" s="741">
        <f t="shared" si="0"/>
        <v>1599999</v>
      </c>
    </row>
    <row r="16" spans="1:7" s="32" customFormat="1" ht="12" customHeight="1">
      <c r="A16" s="729" t="s">
        <v>784</v>
      </c>
      <c r="B16" s="730">
        <v>5000000</v>
      </c>
      <c r="C16" s="731" t="s">
        <v>752</v>
      </c>
      <c r="D16" s="730"/>
      <c r="E16" s="730">
        <v>2609252</v>
      </c>
      <c r="F16" s="730">
        <v>1652270</v>
      </c>
      <c r="G16" s="741">
        <f t="shared" si="0"/>
        <v>1652270</v>
      </c>
    </row>
    <row r="17" spans="1:7" s="32" customFormat="1" ht="12" customHeight="1">
      <c r="A17" s="729" t="s">
        <v>785</v>
      </c>
      <c r="B17" s="730"/>
      <c r="C17" s="731" t="s">
        <v>752</v>
      </c>
      <c r="D17" s="730"/>
      <c r="E17" s="730">
        <v>491599</v>
      </c>
      <c r="F17" s="730">
        <v>245800</v>
      </c>
      <c r="G17" s="741">
        <f t="shared" si="0"/>
        <v>245800</v>
      </c>
    </row>
    <row r="18" spans="1:7" s="32" customFormat="1" ht="12" customHeight="1">
      <c r="A18" s="729" t="s">
        <v>786</v>
      </c>
      <c r="B18" s="730"/>
      <c r="C18" s="731" t="s">
        <v>752</v>
      </c>
      <c r="D18" s="730"/>
      <c r="E18" s="730">
        <v>222250</v>
      </c>
      <c r="F18" s="730">
        <v>222250</v>
      </c>
      <c r="G18" s="741">
        <f t="shared" si="0"/>
        <v>222250</v>
      </c>
    </row>
    <row r="19" spans="1:7" s="32" customFormat="1" ht="12" customHeight="1">
      <c r="A19" s="729" t="s">
        <v>787</v>
      </c>
      <c r="B19" s="730"/>
      <c r="C19" s="731" t="s">
        <v>752</v>
      </c>
      <c r="D19" s="730"/>
      <c r="E19" s="730">
        <v>3023014</v>
      </c>
      <c r="F19" s="730">
        <v>2221257</v>
      </c>
      <c r="G19" s="741">
        <f t="shared" si="0"/>
        <v>2221257</v>
      </c>
    </row>
    <row r="20" spans="1:7" s="32" customFormat="1" ht="12" customHeight="1">
      <c r="A20" s="729" t="s">
        <v>788</v>
      </c>
      <c r="B20" s="730">
        <v>8255000</v>
      </c>
      <c r="C20" s="731" t="s">
        <v>752</v>
      </c>
      <c r="D20" s="730"/>
      <c r="E20" s="730">
        <v>8255000</v>
      </c>
      <c r="F20" s="730">
        <v>8302730</v>
      </c>
      <c r="G20" s="741">
        <f t="shared" si="0"/>
        <v>8302730</v>
      </c>
    </row>
    <row r="21" spans="1:7" s="32" customFormat="1" ht="12" customHeight="1">
      <c r="A21" s="729" t="s">
        <v>789</v>
      </c>
      <c r="B21" s="730"/>
      <c r="C21" s="731" t="s">
        <v>752</v>
      </c>
      <c r="D21" s="730"/>
      <c r="E21" s="730">
        <v>601430</v>
      </c>
      <c r="F21" s="730">
        <v>601430</v>
      </c>
      <c r="G21" s="741">
        <f t="shared" si="0"/>
        <v>601430</v>
      </c>
    </row>
    <row r="22" spans="1:7" s="32" customFormat="1" ht="12" customHeight="1">
      <c r="A22" s="729" t="s">
        <v>790</v>
      </c>
      <c r="B22" s="730"/>
      <c r="C22" s="731" t="s">
        <v>752</v>
      </c>
      <c r="D22" s="730"/>
      <c r="E22" s="730">
        <v>129980</v>
      </c>
      <c r="F22" s="730">
        <v>129980</v>
      </c>
      <c r="G22" s="741">
        <f t="shared" si="0"/>
        <v>129980</v>
      </c>
    </row>
    <row r="23" spans="1:7" s="32" customFormat="1" ht="12" customHeight="1">
      <c r="A23" s="729" t="s">
        <v>791</v>
      </c>
      <c r="B23" s="730"/>
      <c r="C23" s="731" t="s">
        <v>752</v>
      </c>
      <c r="D23" s="730"/>
      <c r="E23" s="730">
        <v>795650</v>
      </c>
      <c r="F23" s="730">
        <v>595000</v>
      </c>
      <c r="G23" s="741">
        <f t="shared" si="0"/>
        <v>595000</v>
      </c>
    </row>
    <row r="24" spans="1:7" s="32" customFormat="1" ht="12" customHeight="1">
      <c r="A24" s="729" t="s">
        <v>792</v>
      </c>
      <c r="B24" s="730"/>
      <c r="C24" s="731" t="s">
        <v>752</v>
      </c>
      <c r="D24" s="730"/>
      <c r="E24" s="730">
        <v>433710</v>
      </c>
      <c r="F24" s="730">
        <v>433710</v>
      </c>
      <c r="G24" s="741">
        <f t="shared" si="0"/>
        <v>433710</v>
      </c>
    </row>
    <row r="25" spans="1:7" s="32" customFormat="1" ht="12" customHeight="1">
      <c r="A25" s="729" t="s">
        <v>793</v>
      </c>
      <c r="B25" s="730"/>
      <c r="C25" s="731" t="s">
        <v>752</v>
      </c>
      <c r="D25" s="730"/>
      <c r="E25" s="730">
        <v>494602</v>
      </c>
      <c r="F25" s="730">
        <v>494602</v>
      </c>
      <c r="G25" s="741">
        <f t="shared" si="0"/>
        <v>494602</v>
      </c>
    </row>
    <row r="26" spans="1:7" s="32" customFormat="1" ht="12" customHeight="1">
      <c r="A26" s="729" t="s">
        <v>794</v>
      </c>
      <c r="B26" s="730"/>
      <c r="C26" s="731" t="s">
        <v>752</v>
      </c>
      <c r="D26" s="730"/>
      <c r="E26" s="730">
        <v>25000</v>
      </c>
      <c r="F26" s="730">
        <v>25000</v>
      </c>
      <c r="G26" s="741">
        <f t="shared" si="0"/>
        <v>25000</v>
      </c>
    </row>
    <row r="27" spans="1:7" s="32" customFormat="1" ht="12" customHeight="1">
      <c r="A27" s="729" t="s">
        <v>795</v>
      </c>
      <c r="B27" s="730"/>
      <c r="C27" s="731" t="s">
        <v>752</v>
      </c>
      <c r="D27" s="730"/>
      <c r="E27" s="730">
        <v>77000</v>
      </c>
      <c r="F27" s="730">
        <v>77000</v>
      </c>
      <c r="G27" s="741">
        <f t="shared" si="0"/>
        <v>77000</v>
      </c>
    </row>
    <row r="28" spans="1:7" s="32" customFormat="1" ht="12" customHeight="1">
      <c r="A28" s="729" t="s">
        <v>796</v>
      </c>
      <c r="B28" s="730">
        <v>501111</v>
      </c>
      <c r="C28" s="731" t="s">
        <v>752</v>
      </c>
      <c r="D28" s="730"/>
      <c r="E28" s="730">
        <v>474090</v>
      </c>
      <c r="F28" s="730">
        <v>474090</v>
      </c>
      <c r="G28" s="741">
        <f t="shared" si="0"/>
        <v>474090</v>
      </c>
    </row>
    <row r="29" spans="1:7" s="32" customFormat="1" ht="12" customHeight="1">
      <c r="A29" s="729" t="s">
        <v>797</v>
      </c>
      <c r="B29" s="730">
        <v>3290000</v>
      </c>
      <c r="C29" s="731" t="s">
        <v>752</v>
      </c>
      <c r="D29" s="730"/>
      <c r="E29" s="730">
        <v>3290000</v>
      </c>
      <c r="F29" s="730">
        <v>1269705</v>
      </c>
      <c r="G29" s="741">
        <f t="shared" si="0"/>
        <v>1269705</v>
      </c>
    </row>
    <row r="30" spans="1:7" s="32" customFormat="1" ht="12" customHeight="1">
      <c r="A30" s="729" t="s">
        <v>798</v>
      </c>
      <c r="B30" s="730">
        <v>300000</v>
      </c>
      <c r="C30" s="731" t="s">
        <v>752</v>
      </c>
      <c r="D30" s="730"/>
      <c r="E30" s="730">
        <v>300000</v>
      </c>
      <c r="F30" s="730"/>
      <c r="G30" s="741">
        <f t="shared" si="0"/>
        <v>0</v>
      </c>
    </row>
    <row r="31" spans="1:7" s="32" customFormat="1" ht="12" customHeight="1">
      <c r="A31" s="729" t="s">
        <v>799</v>
      </c>
      <c r="B31" s="730">
        <v>510000</v>
      </c>
      <c r="C31" s="731" t="s">
        <v>752</v>
      </c>
      <c r="D31" s="730"/>
      <c r="E31" s="730">
        <v>510000</v>
      </c>
      <c r="F31" s="730">
        <v>51023</v>
      </c>
      <c r="G31" s="741">
        <f t="shared" si="0"/>
        <v>51023</v>
      </c>
    </row>
    <row r="32" spans="1:7" s="32" customFormat="1" ht="12" customHeight="1">
      <c r="A32" s="729" t="s">
        <v>800</v>
      </c>
      <c r="B32" s="730">
        <v>251139</v>
      </c>
      <c r="C32" s="731" t="s">
        <v>752</v>
      </c>
      <c r="D32" s="730"/>
      <c r="E32" s="730">
        <v>530000</v>
      </c>
      <c r="F32" s="730">
        <v>495300</v>
      </c>
      <c r="G32" s="741">
        <f t="shared" si="0"/>
        <v>495300</v>
      </c>
    </row>
    <row r="33" spans="1:7" s="32" customFormat="1" ht="12" customHeight="1">
      <c r="A33" s="729" t="s">
        <v>801</v>
      </c>
      <c r="B33" s="730">
        <v>283000</v>
      </c>
      <c r="C33" s="731" t="s">
        <v>752</v>
      </c>
      <c r="D33" s="730"/>
      <c r="E33" s="730">
        <v>283000</v>
      </c>
      <c r="F33" s="730">
        <v>312420</v>
      </c>
      <c r="G33" s="741">
        <f t="shared" si="0"/>
        <v>312420</v>
      </c>
    </row>
    <row r="34" spans="1:7" s="32" customFormat="1" ht="12" customHeight="1">
      <c r="A34" s="729" t="s">
        <v>802</v>
      </c>
      <c r="B34" s="730">
        <v>762000</v>
      </c>
      <c r="C34" s="731" t="s">
        <v>752</v>
      </c>
      <c r="D34" s="730"/>
      <c r="E34" s="730">
        <v>762000</v>
      </c>
      <c r="F34" s="730">
        <v>543597</v>
      </c>
      <c r="G34" s="741">
        <f t="shared" si="0"/>
        <v>543597</v>
      </c>
    </row>
    <row r="35" spans="1:7" s="32" customFormat="1" ht="12" customHeight="1">
      <c r="A35" s="733" t="s">
        <v>803</v>
      </c>
      <c r="B35" s="734">
        <v>190500</v>
      </c>
      <c r="C35" s="735" t="s">
        <v>752</v>
      </c>
      <c r="D35" s="734"/>
      <c r="E35" s="734">
        <v>190500</v>
      </c>
      <c r="F35" s="730">
        <v>139700</v>
      </c>
      <c r="G35" s="741">
        <f t="shared" si="0"/>
        <v>139700</v>
      </c>
    </row>
    <row r="36" spans="1:7" s="32" customFormat="1" ht="12" customHeight="1">
      <c r="A36" s="729" t="s">
        <v>804</v>
      </c>
      <c r="B36" s="730"/>
      <c r="C36" s="731" t="s">
        <v>752</v>
      </c>
      <c r="D36" s="730"/>
      <c r="E36" s="730"/>
      <c r="F36" s="730">
        <v>1120397</v>
      </c>
      <c r="G36" s="741">
        <f t="shared" si="0"/>
        <v>1120397</v>
      </c>
    </row>
    <row r="37" spans="1:7" ht="15.75" customHeight="1">
      <c r="A37" s="742" t="s">
        <v>702</v>
      </c>
      <c r="B37" s="743">
        <f>SUM(B7:B36)</f>
        <v>23620400</v>
      </c>
      <c r="C37" s="731"/>
      <c r="D37" s="730"/>
      <c r="E37" s="743">
        <f>SUM(E7:E36)</f>
        <v>31443757</v>
      </c>
      <c r="F37" s="743">
        <f>SUM(F7:F36)</f>
        <v>26280124</v>
      </c>
      <c r="G37" s="743">
        <f>SUM(G7:G36)</f>
        <v>26280124</v>
      </c>
    </row>
    <row r="38" spans="1:7" ht="15.75" customHeight="1">
      <c r="A38" s="729" t="s">
        <v>740</v>
      </c>
      <c r="B38" s="730">
        <v>3200000</v>
      </c>
      <c r="C38" s="731" t="s">
        <v>751</v>
      </c>
      <c r="D38" s="730"/>
      <c r="E38" s="730">
        <v>3200000</v>
      </c>
      <c r="F38" s="730">
        <v>3200000</v>
      </c>
      <c r="G38" s="744">
        <f aca="true" t="shared" si="1" ref="G38:G48">D38+F38</f>
        <v>3200000</v>
      </c>
    </row>
    <row r="39" spans="1:7" ht="15.75" customHeight="1">
      <c r="A39" s="729" t="s">
        <v>741</v>
      </c>
      <c r="B39" s="730">
        <v>1096880</v>
      </c>
      <c r="C39" s="731" t="s">
        <v>752</v>
      </c>
      <c r="D39" s="730"/>
      <c r="E39" s="730">
        <v>316146</v>
      </c>
      <c r="F39" s="730"/>
      <c r="G39" s="744">
        <f t="shared" si="1"/>
        <v>0</v>
      </c>
    </row>
    <row r="40" spans="1:7" ht="15.75" customHeight="1">
      <c r="A40" s="729" t="s">
        <v>742</v>
      </c>
      <c r="B40" s="730">
        <v>23112825</v>
      </c>
      <c r="C40" s="731" t="s">
        <v>751</v>
      </c>
      <c r="D40" s="730">
        <v>89059830</v>
      </c>
      <c r="E40" s="730">
        <v>18389935</v>
      </c>
      <c r="F40" s="730">
        <v>17792186</v>
      </c>
      <c r="G40" s="744">
        <f t="shared" si="1"/>
        <v>106852016</v>
      </c>
    </row>
    <row r="41" spans="1:7" ht="15.75" customHeight="1">
      <c r="A41" s="729" t="s">
        <v>743</v>
      </c>
      <c r="B41" s="730">
        <v>1143000</v>
      </c>
      <c r="C41" s="731" t="s">
        <v>752</v>
      </c>
      <c r="D41" s="730"/>
      <c r="E41" s="730">
        <v>1143000</v>
      </c>
      <c r="F41" s="730">
        <v>0</v>
      </c>
      <c r="G41" s="744">
        <f t="shared" si="1"/>
        <v>0</v>
      </c>
    </row>
    <row r="42" spans="1:7" ht="15.75" customHeight="1">
      <c r="A42" s="736" t="s">
        <v>744</v>
      </c>
      <c r="B42" s="730">
        <v>2465070</v>
      </c>
      <c r="C42" s="731" t="s">
        <v>752</v>
      </c>
      <c r="D42" s="730"/>
      <c r="E42" s="730">
        <v>2465070</v>
      </c>
      <c r="F42" s="730">
        <v>1972056</v>
      </c>
      <c r="G42" s="744">
        <f t="shared" si="1"/>
        <v>1972056</v>
      </c>
    </row>
    <row r="43" spans="1:7" ht="15.75" customHeight="1">
      <c r="A43" s="736" t="s">
        <v>745</v>
      </c>
      <c r="B43" s="730"/>
      <c r="C43" s="731" t="s">
        <v>752</v>
      </c>
      <c r="D43" s="730">
        <v>0</v>
      </c>
      <c r="E43" s="730">
        <v>4053745</v>
      </c>
      <c r="F43" s="730">
        <v>4053745</v>
      </c>
      <c r="G43" s="744">
        <f t="shared" si="1"/>
        <v>4053745</v>
      </c>
    </row>
    <row r="44" spans="1:7" ht="15.75" customHeight="1">
      <c r="A44" s="736" t="s">
        <v>746</v>
      </c>
      <c r="B44" s="730"/>
      <c r="C44" s="731" t="s">
        <v>752</v>
      </c>
      <c r="D44" s="730"/>
      <c r="E44" s="730">
        <v>387350</v>
      </c>
      <c r="F44" s="730">
        <v>387350</v>
      </c>
      <c r="G44" s="744">
        <f t="shared" si="1"/>
        <v>387350</v>
      </c>
    </row>
    <row r="45" spans="1:7" ht="15.75" customHeight="1">
      <c r="A45" s="736" t="s">
        <v>747</v>
      </c>
      <c r="B45" s="730"/>
      <c r="C45" s="731" t="s">
        <v>752</v>
      </c>
      <c r="D45" s="730"/>
      <c r="E45" s="730">
        <v>4979553</v>
      </c>
      <c r="F45" s="730">
        <v>3069440</v>
      </c>
      <c r="G45" s="744">
        <f t="shared" si="1"/>
        <v>3069440</v>
      </c>
    </row>
    <row r="46" spans="1:7" ht="15.75" customHeight="1">
      <c r="A46" s="736" t="s">
        <v>748</v>
      </c>
      <c r="B46" s="730"/>
      <c r="C46" s="731" t="s">
        <v>752</v>
      </c>
      <c r="D46" s="730"/>
      <c r="E46" s="730">
        <v>14497050</v>
      </c>
      <c r="F46" s="730"/>
      <c r="G46" s="744">
        <f t="shared" si="1"/>
        <v>0</v>
      </c>
    </row>
    <row r="47" spans="1:7" ht="15.75" customHeight="1">
      <c r="A47" s="729" t="s">
        <v>749</v>
      </c>
      <c r="B47" s="730">
        <v>26938000</v>
      </c>
      <c r="C47" s="731" t="s">
        <v>752</v>
      </c>
      <c r="D47" s="730"/>
      <c r="E47" s="730">
        <v>27352469</v>
      </c>
      <c r="F47" s="734">
        <v>27352468</v>
      </c>
      <c r="G47" s="744">
        <f t="shared" si="1"/>
        <v>27352468</v>
      </c>
    </row>
    <row r="48" spans="1:7" ht="15.75" customHeight="1" thickBot="1">
      <c r="A48" s="737" t="s">
        <v>750</v>
      </c>
      <c r="B48" s="738">
        <v>29058154</v>
      </c>
      <c r="C48" s="739" t="s">
        <v>752</v>
      </c>
      <c r="D48" s="738"/>
      <c r="E48" s="738">
        <v>29058154</v>
      </c>
      <c r="F48" s="734">
        <v>28516060</v>
      </c>
      <c r="G48" s="744">
        <f t="shared" si="1"/>
        <v>28516060</v>
      </c>
    </row>
    <row r="49" spans="1:7" s="674" customFormat="1" ht="15.75" customHeight="1" thickBot="1">
      <c r="A49" s="742" t="s">
        <v>703</v>
      </c>
      <c r="B49" s="743">
        <f>SUM(B38:B48)</f>
        <v>87013929</v>
      </c>
      <c r="C49" s="745"/>
      <c r="D49" s="743">
        <f>SUM(D38:D48)</f>
        <v>89059830</v>
      </c>
      <c r="E49" s="746">
        <f>SUM(E38:E48)</f>
        <v>105842472</v>
      </c>
      <c r="F49" s="747">
        <f>SUM(F38:F48)</f>
        <v>86343305</v>
      </c>
      <c r="G49" s="748">
        <f>SUM(G38:G48)</f>
        <v>175403135</v>
      </c>
    </row>
    <row r="50" spans="1:7" s="36" customFormat="1" ht="18" customHeight="1" thickBot="1">
      <c r="A50" s="749" t="s">
        <v>47</v>
      </c>
      <c r="B50" s="750">
        <f>B37+B49</f>
        <v>110634329</v>
      </c>
      <c r="C50" s="751"/>
      <c r="D50" s="750">
        <f>D37+D49</f>
        <v>89059830</v>
      </c>
      <c r="E50" s="750">
        <f>E37+E49</f>
        <v>137286229</v>
      </c>
      <c r="F50" s="750">
        <f>F37+F49</f>
        <v>112623429</v>
      </c>
      <c r="G50" s="750">
        <f>G37+G49</f>
        <v>201683259</v>
      </c>
    </row>
  </sheetData>
  <sheetProtection/>
  <mergeCells count="2">
    <mergeCell ref="A3:G3"/>
    <mergeCell ref="B1:G1"/>
  </mergeCells>
  <printOptions horizontalCentered="1"/>
  <pageMargins left="0.61" right="0.52" top="1.02" bottom="0.984251968503937" header="0.7874015748031497" footer="0.7874015748031497"/>
  <pageSetup horizontalDpi="300" verticalDpi="3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21"/>
  <sheetViews>
    <sheetView view="pageBreakPreview" zoomScale="60" zoomScaleNormal="120" workbookViewId="0" topLeftCell="A1">
      <selection activeCell="I5" sqref="I5"/>
    </sheetView>
  </sheetViews>
  <sheetFormatPr defaultColWidth="9.00390625" defaultRowHeight="12.75"/>
  <cols>
    <col min="1" max="1" width="54.125" style="27" customWidth="1"/>
    <col min="2" max="2" width="15.625" style="26" customWidth="1"/>
    <col min="3" max="3" width="16.375" style="26" customWidth="1"/>
    <col min="4" max="5" width="18.00390625" style="26" customWidth="1"/>
    <col min="6" max="6" width="16.625" style="26" customWidth="1"/>
    <col min="7" max="7" width="18.875" style="26" customWidth="1"/>
    <col min="8" max="9" width="12.875" style="26" customWidth="1"/>
    <col min="10" max="10" width="13.875" style="26" customWidth="1"/>
    <col min="11" max="16384" width="9.375" style="26" customWidth="1"/>
  </cols>
  <sheetData>
    <row r="1" spans="1:7" ht="15">
      <c r="A1" s="374"/>
      <c r="B1" s="852" t="s">
        <v>1251</v>
      </c>
      <c r="C1" s="852"/>
      <c r="D1" s="852"/>
      <c r="E1" s="852"/>
      <c r="F1" s="852"/>
      <c r="G1" s="852"/>
    </row>
    <row r="2" spans="1:7" ht="12.75">
      <c r="A2" s="374"/>
      <c r="B2" s="375"/>
      <c r="C2" s="375"/>
      <c r="D2" s="375"/>
      <c r="E2" s="375"/>
      <c r="F2" s="375"/>
      <c r="G2" s="375"/>
    </row>
    <row r="3" spans="1:7" ht="24.75" customHeight="1">
      <c r="A3" s="851" t="s">
        <v>503</v>
      </c>
      <c r="B3" s="851"/>
      <c r="C3" s="851"/>
      <c r="D3" s="851"/>
      <c r="E3" s="851"/>
      <c r="F3" s="851"/>
      <c r="G3" s="851"/>
    </row>
    <row r="4" spans="1:7" ht="23.25" customHeight="1" thickBot="1">
      <c r="A4" s="374"/>
      <c r="B4" s="375"/>
      <c r="C4" s="375"/>
      <c r="D4" s="375"/>
      <c r="E4" s="375"/>
      <c r="F4" s="375"/>
      <c r="G4" s="376" t="str">
        <f>'[1]Z_3.sz.mell.'!G4</f>
        <v> Forintban!</v>
      </c>
    </row>
    <row r="5" spans="1:7" s="28" customFormat="1" ht="48.75" customHeight="1" thickBot="1">
      <c r="A5" s="377" t="s">
        <v>50</v>
      </c>
      <c r="B5" s="343" t="s">
        <v>759</v>
      </c>
      <c r="C5" s="343" t="s">
        <v>49</v>
      </c>
      <c r="D5" s="343" t="s">
        <v>724</v>
      </c>
      <c r="E5" s="343" t="s">
        <v>725</v>
      </c>
      <c r="F5" s="343" t="s">
        <v>726</v>
      </c>
      <c r="G5" s="344" t="s">
        <v>727</v>
      </c>
    </row>
    <row r="6" spans="1:7" s="32" customFormat="1" ht="15" customHeight="1" thickBot="1">
      <c r="A6" s="378" t="s">
        <v>384</v>
      </c>
      <c r="B6" s="379" t="s">
        <v>385</v>
      </c>
      <c r="C6" s="379" t="s">
        <v>386</v>
      </c>
      <c r="D6" s="379" t="s">
        <v>388</v>
      </c>
      <c r="E6" s="379" t="s">
        <v>387</v>
      </c>
      <c r="F6" s="379" t="s">
        <v>389</v>
      </c>
      <c r="G6" s="380" t="s">
        <v>441</v>
      </c>
    </row>
    <row r="7" spans="1:8" s="32" customFormat="1" ht="15" customHeight="1">
      <c r="A7" s="37" t="s">
        <v>805</v>
      </c>
      <c r="B7" s="38">
        <v>174000</v>
      </c>
      <c r="C7" s="209" t="s">
        <v>752</v>
      </c>
      <c r="D7" s="38">
        <v>0</v>
      </c>
      <c r="E7" s="38">
        <v>162000</v>
      </c>
      <c r="F7" s="38">
        <v>20000</v>
      </c>
      <c r="G7" s="39">
        <f>D7+F7</f>
        <v>20000</v>
      </c>
      <c r="H7" s="32">
        <f>F7-E7</f>
        <v>-142000</v>
      </c>
    </row>
    <row r="8" spans="1:9" s="32" customFormat="1" ht="15" customHeight="1">
      <c r="A8" s="37" t="s">
        <v>806</v>
      </c>
      <c r="B8" s="38">
        <v>8000000</v>
      </c>
      <c r="C8" s="209" t="s">
        <v>752</v>
      </c>
      <c r="D8" s="38"/>
      <c r="E8" s="38">
        <v>246883</v>
      </c>
      <c r="F8" s="38">
        <v>0</v>
      </c>
      <c r="G8" s="39"/>
      <c r="H8" s="32">
        <f aca="true" t="shared" si="0" ref="H8:H19">F8-E8</f>
        <v>-246883</v>
      </c>
      <c r="I8" s="32" t="s">
        <v>1066</v>
      </c>
    </row>
    <row r="9" spans="1:8" s="32" customFormat="1" ht="15" customHeight="1">
      <c r="A9" s="37" t="s">
        <v>807</v>
      </c>
      <c r="B9" s="38">
        <v>27000</v>
      </c>
      <c r="C9" s="209" t="s">
        <v>752</v>
      </c>
      <c r="D9" s="38"/>
      <c r="E9" s="38">
        <v>100000</v>
      </c>
      <c r="F9" s="38"/>
      <c r="G9" s="39"/>
      <c r="H9" s="32">
        <f t="shared" si="0"/>
        <v>-100000</v>
      </c>
    </row>
    <row r="10" spans="1:8" s="32" customFormat="1" ht="15" customHeight="1">
      <c r="A10" s="37" t="s">
        <v>808</v>
      </c>
      <c r="B10" s="38">
        <v>284000</v>
      </c>
      <c r="C10" s="209" t="s">
        <v>752</v>
      </c>
      <c r="D10" s="38"/>
      <c r="E10" s="38">
        <v>0</v>
      </c>
      <c r="F10" s="38"/>
      <c r="G10" s="39"/>
      <c r="H10" s="32">
        <f t="shared" si="0"/>
        <v>0</v>
      </c>
    </row>
    <row r="11" spans="1:9" s="32" customFormat="1" ht="15" customHeight="1">
      <c r="A11" s="37" t="s">
        <v>809</v>
      </c>
      <c r="B11" s="38">
        <v>651000</v>
      </c>
      <c r="C11" s="209" t="s">
        <v>752</v>
      </c>
      <c r="D11" s="38"/>
      <c r="E11" s="38">
        <v>420343</v>
      </c>
      <c r="F11" s="38">
        <v>0</v>
      </c>
      <c r="G11" s="39">
        <v>0</v>
      </c>
      <c r="H11" s="32">
        <f t="shared" si="0"/>
        <v>-420343</v>
      </c>
      <c r="I11" s="32" t="s">
        <v>1067</v>
      </c>
    </row>
    <row r="12" spans="1:8" ht="15.75" customHeight="1">
      <c r="A12" s="37" t="s">
        <v>810</v>
      </c>
      <c r="B12" s="38">
        <v>100000</v>
      </c>
      <c r="C12" s="209" t="s">
        <v>752</v>
      </c>
      <c r="D12" s="38"/>
      <c r="E12" s="38">
        <v>107760</v>
      </c>
      <c r="F12" s="38">
        <v>107760</v>
      </c>
      <c r="G12" s="39">
        <v>107760</v>
      </c>
      <c r="H12" s="32">
        <f t="shared" si="0"/>
        <v>0</v>
      </c>
    </row>
    <row r="13" spans="1:8" s="674" customFormat="1" ht="15.75" customHeight="1">
      <c r="A13" s="678" t="s">
        <v>704</v>
      </c>
      <c r="B13" s="677">
        <f>SUM(B7:B12)</f>
        <v>9236000</v>
      </c>
      <c r="C13" s="679"/>
      <c r="D13" s="677">
        <f>SUM(D12)</f>
        <v>0</v>
      </c>
      <c r="E13" s="677">
        <f>SUM(E7:E12)</f>
        <v>1036986</v>
      </c>
      <c r="F13" s="677">
        <f>SUM(F7:F12)</f>
        <v>127760</v>
      </c>
      <c r="G13" s="677">
        <f>SUM(G7:G12)</f>
        <v>127760</v>
      </c>
      <c r="H13" s="32">
        <f t="shared" si="0"/>
        <v>-909226</v>
      </c>
    </row>
    <row r="14" spans="1:8" s="674" customFormat="1" ht="15.75" customHeight="1">
      <c r="A14" s="689" t="s">
        <v>753</v>
      </c>
      <c r="B14" s="692"/>
      <c r="C14" s="693">
        <v>2021</v>
      </c>
      <c r="D14" s="677"/>
      <c r="E14" s="701">
        <v>7752847</v>
      </c>
      <c r="F14" s="701">
        <v>8049847</v>
      </c>
      <c r="G14" s="702">
        <f aca="true" t="shared" si="1" ref="G14:G19">D14+F14</f>
        <v>8049847</v>
      </c>
      <c r="H14" s="32">
        <f t="shared" si="0"/>
        <v>297000</v>
      </c>
    </row>
    <row r="15" spans="1:8" s="674" customFormat="1" ht="15.75" customHeight="1">
      <c r="A15" s="690" t="s">
        <v>754</v>
      </c>
      <c r="B15" s="694"/>
      <c r="C15" s="695">
        <v>2021</v>
      </c>
      <c r="D15" s="677"/>
      <c r="E15" s="701">
        <v>91440</v>
      </c>
      <c r="F15" s="701"/>
      <c r="G15" s="702">
        <f t="shared" si="1"/>
        <v>0</v>
      </c>
      <c r="H15" s="32">
        <f t="shared" si="0"/>
        <v>-91440</v>
      </c>
    </row>
    <row r="16" spans="1:8" ht="15.75" customHeight="1">
      <c r="A16" s="690" t="s">
        <v>755</v>
      </c>
      <c r="B16" s="694"/>
      <c r="C16" s="695">
        <v>2021</v>
      </c>
      <c r="D16" s="38"/>
      <c r="E16" s="38">
        <v>180000</v>
      </c>
      <c r="F16" s="701">
        <v>180000</v>
      </c>
      <c r="G16" s="702">
        <f t="shared" si="1"/>
        <v>180000</v>
      </c>
      <c r="H16" s="32">
        <f t="shared" si="0"/>
        <v>0</v>
      </c>
    </row>
    <row r="17" spans="1:8" ht="15.75" customHeight="1">
      <c r="A17" s="690" t="s">
        <v>756</v>
      </c>
      <c r="B17" s="694"/>
      <c r="C17" s="695">
        <v>2021</v>
      </c>
      <c r="D17" s="38"/>
      <c r="E17" s="38">
        <v>15000000</v>
      </c>
      <c r="F17" s="701"/>
      <c r="G17" s="702">
        <f t="shared" si="1"/>
        <v>0</v>
      </c>
      <c r="H17" s="32">
        <f t="shared" si="0"/>
        <v>-15000000</v>
      </c>
    </row>
    <row r="18" spans="1:8" ht="15.75" customHeight="1">
      <c r="A18" s="690" t="s">
        <v>757</v>
      </c>
      <c r="B18" s="694"/>
      <c r="C18" s="695">
        <v>2021</v>
      </c>
      <c r="D18" s="38"/>
      <c r="E18" s="38">
        <v>15401332</v>
      </c>
      <c r="F18" s="38">
        <v>15206097</v>
      </c>
      <c r="G18" s="39">
        <f t="shared" si="1"/>
        <v>15206097</v>
      </c>
      <c r="H18" s="32">
        <f t="shared" si="0"/>
        <v>-195235</v>
      </c>
    </row>
    <row r="19" spans="1:8" ht="15.75" customHeight="1" thickBot="1">
      <c r="A19" s="691" t="s">
        <v>758</v>
      </c>
      <c r="B19" s="696"/>
      <c r="C19" s="697">
        <v>2021</v>
      </c>
      <c r="D19" s="699"/>
      <c r="E19" s="699">
        <v>14398144</v>
      </c>
      <c r="F19" s="699">
        <v>14398144</v>
      </c>
      <c r="G19" s="700">
        <f t="shared" si="1"/>
        <v>14398144</v>
      </c>
      <c r="H19" s="32">
        <f t="shared" si="0"/>
        <v>0</v>
      </c>
    </row>
    <row r="20" spans="1:7" s="674" customFormat="1" ht="15.75" customHeight="1" thickBot="1">
      <c r="A20" s="675" t="s">
        <v>703</v>
      </c>
      <c r="B20" s="676">
        <f>SUM(B14:B19)</f>
        <v>0</v>
      </c>
      <c r="C20" s="676"/>
      <c r="D20" s="698">
        <f>SUM(D16:D19)</f>
        <v>0</v>
      </c>
      <c r="E20" s="698">
        <f>SUM(E14:E19)</f>
        <v>52823763</v>
      </c>
      <c r="F20" s="698">
        <f>SUM(F14:F19)</f>
        <v>37834088</v>
      </c>
      <c r="G20" s="698">
        <f>SUM(G14:G19)</f>
        <v>37834088</v>
      </c>
    </row>
    <row r="21" spans="1:7" s="36" customFormat="1" ht="18" customHeight="1" thickBot="1">
      <c r="A21" s="64" t="s">
        <v>47</v>
      </c>
      <c r="B21" s="65">
        <f>B13+B20</f>
        <v>9236000</v>
      </c>
      <c r="C21" s="49"/>
      <c r="D21" s="65">
        <f>D13+D20</f>
        <v>0</v>
      </c>
      <c r="E21" s="65">
        <f>E13+E20</f>
        <v>53860749</v>
      </c>
      <c r="F21" s="65">
        <f>F13+F20</f>
        <v>37961848</v>
      </c>
      <c r="G21" s="65">
        <f>G13+G20</f>
        <v>37961848</v>
      </c>
    </row>
  </sheetData>
  <sheetProtection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50"/>
  <sheetViews>
    <sheetView view="pageBreakPreview" zoomScaleNormal="120" zoomScaleSheetLayoutView="100" workbookViewId="0" topLeftCell="E1">
      <selection activeCell="S25" sqref="S25"/>
    </sheetView>
  </sheetViews>
  <sheetFormatPr defaultColWidth="9.00390625" defaultRowHeight="12.75"/>
  <cols>
    <col min="1" max="1" width="28.50390625" style="30" customWidth="1"/>
    <col min="2" max="18" width="10.00390625" style="30" customWidth="1"/>
    <col min="19" max="19" width="12.50390625" style="30" customWidth="1"/>
    <col min="20" max="20" width="10.00390625" style="30" customWidth="1"/>
    <col min="21" max="21" width="4.00390625" style="30" customWidth="1"/>
    <col min="22" max="16384" width="9.375" style="30" customWidth="1"/>
  </cols>
  <sheetData>
    <row r="1" spans="1:20" ht="15">
      <c r="A1" s="857" t="str">
        <f>CONCATENATE("9. melléklet ",Z_ALAPADATOK!A7," ",Z_ALAPADATOK!B7," ",Z_ALAPADATOK!C7," ",Z_ALAPADATOK!D7," ",Z_ALAPADATOK!E7," ",Z_ALAPADATOK!F7," ",Z_ALAPADATOK!G7," ",Z_ALAPADATOK!H7)</f>
        <v>9. melléklet a 3 / 2022. ( V. 26. ) önkormányzati rendelethez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</row>
    <row r="2" spans="1:20" ht="15.75">
      <c r="A2" s="858" t="s">
        <v>504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  <c r="R2" s="858"/>
      <c r="S2" s="858"/>
      <c r="T2" s="858"/>
    </row>
    <row r="3" spans="1:20" ht="15.75">
      <c r="A3" s="859" t="s">
        <v>505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  <c r="T3" s="822"/>
    </row>
    <row r="4" spans="1:21" ht="15.75" customHeight="1">
      <c r="A4" s="854" t="s">
        <v>442</v>
      </c>
      <c r="B4" s="854"/>
      <c r="C4" s="854"/>
      <c r="D4" s="592"/>
      <c r="E4" s="592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886"/>
      <c r="S4" s="886"/>
      <c r="T4" s="886"/>
      <c r="U4" s="876"/>
    </row>
    <row r="5" spans="1:21" ht="15.75" thickBot="1">
      <c r="A5" s="373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877" t="str">
        <f>8!G4</f>
        <v> Forintban!</v>
      </c>
      <c r="T5" s="877"/>
      <c r="U5" s="876"/>
    </row>
    <row r="6" spans="1:21" ht="13.5" thickBot="1">
      <c r="A6" s="878" t="s">
        <v>83</v>
      </c>
      <c r="B6" s="881" t="s">
        <v>443</v>
      </c>
      <c r="C6" s="881"/>
      <c r="D6" s="881"/>
      <c r="E6" s="881"/>
      <c r="F6" s="881"/>
      <c r="G6" s="881"/>
      <c r="H6" s="881"/>
      <c r="I6" s="881"/>
      <c r="J6" s="881"/>
      <c r="K6" s="881"/>
      <c r="L6" s="881"/>
      <c r="M6" s="881"/>
      <c r="N6" s="712"/>
      <c r="O6" s="865" t="s">
        <v>444</v>
      </c>
      <c r="P6" s="866"/>
      <c r="Q6" s="866"/>
      <c r="R6" s="866"/>
      <c r="S6" s="866"/>
      <c r="T6" s="867"/>
      <c r="U6" s="876"/>
    </row>
    <row r="7" spans="1:21" ht="15" customHeight="1" thickBot="1">
      <c r="A7" s="879"/>
      <c r="B7" s="855" t="s">
        <v>445</v>
      </c>
      <c r="C7" s="856" t="s">
        <v>446</v>
      </c>
      <c r="D7" s="268"/>
      <c r="E7" s="268"/>
      <c r="F7" s="860" t="s">
        <v>447</v>
      </c>
      <c r="G7" s="860"/>
      <c r="H7" s="860"/>
      <c r="I7" s="860"/>
      <c r="J7" s="860"/>
      <c r="K7" s="860"/>
      <c r="L7" s="860"/>
      <c r="M7" s="860"/>
      <c r="N7" s="688"/>
      <c r="O7" s="868"/>
      <c r="P7" s="869"/>
      <c r="Q7" s="869"/>
      <c r="R7" s="869"/>
      <c r="S7" s="869"/>
      <c r="T7" s="870"/>
      <c r="U7" s="876"/>
    </row>
    <row r="8" spans="1:21" ht="21.75" thickBot="1">
      <c r="A8" s="879"/>
      <c r="B8" s="855"/>
      <c r="C8" s="856"/>
      <c r="D8" s="268" t="s">
        <v>445</v>
      </c>
      <c r="E8" s="268" t="s">
        <v>446</v>
      </c>
      <c r="F8" s="268" t="s">
        <v>445</v>
      </c>
      <c r="G8" s="268" t="s">
        <v>446</v>
      </c>
      <c r="H8" s="268" t="s">
        <v>445</v>
      </c>
      <c r="I8" s="268" t="s">
        <v>446</v>
      </c>
      <c r="J8" s="268" t="s">
        <v>445</v>
      </c>
      <c r="K8" s="268" t="s">
        <v>446</v>
      </c>
      <c r="L8" s="268" t="s">
        <v>445</v>
      </c>
      <c r="M8" s="268" t="s">
        <v>446</v>
      </c>
      <c r="N8" s="713"/>
      <c r="O8" s="871"/>
      <c r="P8" s="872"/>
      <c r="Q8" s="872"/>
      <c r="R8" s="872"/>
      <c r="S8" s="872"/>
      <c r="T8" s="873"/>
      <c r="U8" s="876"/>
    </row>
    <row r="9" spans="1:21" ht="32.25" thickBot="1">
      <c r="A9" s="880"/>
      <c r="B9" s="856" t="s">
        <v>448</v>
      </c>
      <c r="C9" s="856"/>
      <c r="D9" s="856">
        <v>2018</v>
      </c>
      <c r="E9" s="856"/>
      <c r="F9" s="856">
        <v>2019</v>
      </c>
      <c r="G9" s="856"/>
      <c r="H9" s="874">
        <v>2020</v>
      </c>
      <c r="I9" s="875"/>
      <c r="J9" s="864" t="str">
        <f>+CONCATENATE(LEFT(Z_ÖSSZEFÜGGÉSEK!A6,4),". XII.31.")</f>
        <v>2021. XII.31.</v>
      </c>
      <c r="K9" s="864"/>
      <c r="L9" s="855" t="str">
        <f>+CONCATENATE(LEFT(Z_ÖSSZEFÜGGÉSEK!A6,4),". után")</f>
        <v>2021. után</v>
      </c>
      <c r="M9" s="855"/>
      <c r="N9" s="267">
        <v>2017</v>
      </c>
      <c r="O9" s="346">
        <v>2018</v>
      </c>
      <c r="P9" s="346">
        <f>+F9</f>
        <v>2019</v>
      </c>
      <c r="Q9" s="346">
        <v>2020</v>
      </c>
      <c r="R9" s="345" t="str">
        <f>+J9</f>
        <v>2021. XII.31.</v>
      </c>
      <c r="S9" s="267" t="s">
        <v>37</v>
      </c>
      <c r="T9" s="345" t="str">
        <f>+CONCATENATE("Teljesítés %-a ",LEFT(Z_ÖSSZEFÜGGÉSEK!A6,4),". XII. 31-ig")</f>
        <v>Teljesítés %-a 2021. XII. 31-ig</v>
      </c>
      <c r="U9" s="876"/>
    </row>
    <row r="10" spans="1:21" ht="13.5" thickBot="1">
      <c r="A10" s="269" t="s">
        <v>384</v>
      </c>
      <c r="B10" s="267" t="s">
        <v>385</v>
      </c>
      <c r="C10" s="267" t="s">
        <v>386</v>
      </c>
      <c r="D10" s="270" t="s">
        <v>388</v>
      </c>
      <c r="E10" s="268" t="s">
        <v>387</v>
      </c>
      <c r="F10" s="270" t="s">
        <v>388</v>
      </c>
      <c r="G10" s="268" t="s">
        <v>387</v>
      </c>
      <c r="H10" s="268" t="s">
        <v>389</v>
      </c>
      <c r="I10" s="268" t="s">
        <v>390</v>
      </c>
      <c r="J10" s="268" t="s">
        <v>449</v>
      </c>
      <c r="K10" s="268" t="s">
        <v>450</v>
      </c>
      <c r="L10" s="267" t="s">
        <v>760</v>
      </c>
      <c r="M10" s="270" t="s">
        <v>761</v>
      </c>
      <c r="N10" s="270" t="s">
        <v>762</v>
      </c>
      <c r="O10" s="270" t="s">
        <v>763</v>
      </c>
      <c r="P10" s="270" t="s">
        <v>764</v>
      </c>
      <c r="Q10" s="270" t="s">
        <v>765</v>
      </c>
      <c r="R10" s="270" t="s">
        <v>766</v>
      </c>
      <c r="S10" s="270" t="s">
        <v>767</v>
      </c>
      <c r="T10" s="271" t="s">
        <v>768</v>
      </c>
      <c r="U10" s="876"/>
    </row>
    <row r="11" spans="1:21" ht="12.75">
      <c r="A11" s="272" t="s">
        <v>84</v>
      </c>
      <c r="B11" s="317"/>
      <c r="C11" s="318"/>
      <c r="D11" s="318"/>
      <c r="E11" s="319"/>
      <c r="F11" s="318"/>
      <c r="G11" s="319"/>
      <c r="H11" s="318">
        <v>600000</v>
      </c>
      <c r="I11" s="318">
        <v>600000</v>
      </c>
      <c r="J11" s="318">
        <v>600000</v>
      </c>
      <c r="K11" s="318">
        <v>1122145</v>
      </c>
      <c r="L11" s="318">
        <v>683700</v>
      </c>
      <c r="M11" s="318"/>
      <c r="N11" s="318"/>
      <c r="O11" s="318"/>
      <c r="P11" s="318"/>
      <c r="Q11" s="318">
        <v>600000</v>
      </c>
      <c r="R11" s="318">
        <v>1122145</v>
      </c>
      <c r="S11" s="320">
        <f>O11+P11+R11+Q11</f>
        <v>1722145</v>
      </c>
      <c r="T11" s="324">
        <f aca="true" t="shared" si="0" ref="T11:T18">IF((C11&lt;&gt;0),ROUND((S11/C11)*100,1),"")</f>
      </c>
      <c r="U11" s="876"/>
    </row>
    <row r="12" spans="1:21" ht="12.75">
      <c r="A12" s="274" t="s">
        <v>96</v>
      </c>
      <c r="B12" s="321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3">
        <f>O12+Q12+P12+R12</f>
        <v>0</v>
      </c>
      <c r="T12" s="324">
        <f t="shared" si="0"/>
      </c>
      <c r="U12" s="876"/>
    </row>
    <row r="13" spans="1:21" ht="12.75">
      <c r="A13" s="275" t="s">
        <v>85</v>
      </c>
      <c r="B13" s="325">
        <v>145309282</v>
      </c>
      <c r="C13" s="331">
        <v>145309282</v>
      </c>
      <c r="D13" s="326">
        <v>0</v>
      </c>
      <c r="E13" s="326">
        <v>36327320</v>
      </c>
      <c r="F13" s="326">
        <v>145309282</v>
      </c>
      <c r="G13" s="326">
        <v>108981962</v>
      </c>
      <c r="H13" s="326"/>
      <c r="I13" s="326"/>
      <c r="J13" s="326">
        <v>0</v>
      </c>
      <c r="K13" s="326">
        <v>0</v>
      </c>
      <c r="L13" s="326">
        <v>0</v>
      </c>
      <c r="M13" s="326">
        <v>0</v>
      </c>
      <c r="N13" s="326"/>
      <c r="O13" s="326">
        <v>36327320</v>
      </c>
      <c r="P13" s="326">
        <v>108981962</v>
      </c>
      <c r="Q13" s="326"/>
      <c r="R13" s="326">
        <v>0</v>
      </c>
      <c r="S13" s="323">
        <f>O13+P13+R13</f>
        <v>145309282</v>
      </c>
      <c r="T13" s="324">
        <f t="shared" si="0"/>
        <v>100</v>
      </c>
      <c r="U13" s="876"/>
    </row>
    <row r="14" spans="1:21" ht="12.75">
      <c r="A14" s="275" t="s">
        <v>97</v>
      </c>
      <c r="B14" s="325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3">
        <f>+P14+R14</f>
        <v>0</v>
      </c>
      <c r="T14" s="324">
        <f t="shared" si="0"/>
      </c>
      <c r="U14" s="876"/>
    </row>
    <row r="15" spans="1:21" ht="12.75">
      <c r="A15" s="275" t="s">
        <v>86</v>
      </c>
      <c r="B15" s="325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3">
        <f>+P15+R15</f>
        <v>0</v>
      </c>
      <c r="T15" s="324">
        <f t="shared" si="0"/>
      </c>
      <c r="U15" s="876"/>
    </row>
    <row r="16" spans="1:21" ht="12.75">
      <c r="A16" s="275" t="s">
        <v>87</v>
      </c>
      <c r="B16" s="325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3">
        <f>+P16+R16</f>
        <v>0</v>
      </c>
      <c r="T16" s="324">
        <f t="shared" si="0"/>
      </c>
      <c r="U16" s="876"/>
    </row>
    <row r="17" spans="1:21" ht="15" customHeight="1" thickBot="1">
      <c r="A17" s="276"/>
      <c r="B17" s="327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3">
        <f>+P17+R17</f>
        <v>0</v>
      </c>
      <c r="T17" s="324">
        <f t="shared" si="0"/>
      </c>
      <c r="U17" s="876"/>
    </row>
    <row r="18" spans="1:21" ht="13.5" thickBot="1">
      <c r="A18" s="278" t="s">
        <v>89</v>
      </c>
      <c r="B18" s="329">
        <f>B11+SUM(B13:B17)</f>
        <v>145309282</v>
      </c>
      <c r="C18" s="329">
        <f aca="true" t="shared" si="1" ref="C18:R18">C11+SUM(C13:C17)</f>
        <v>145309282</v>
      </c>
      <c r="D18" s="329">
        <f>D11+SUM(D13:D17)</f>
        <v>0</v>
      </c>
      <c r="E18" s="329">
        <f>E11+SUM(E13:E17)</f>
        <v>36327320</v>
      </c>
      <c r="F18" s="329">
        <f t="shared" si="1"/>
        <v>145309282</v>
      </c>
      <c r="G18" s="329">
        <f t="shared" si="1"/>
        <v>108981962</v>
      </c>
      <c r="H18" s="329">
        <f t="shared" si="1"/>
        <v>600000</v>
      </c>
      <c r="I18" s="329">
        <f t="shared" si="1"/>
        <v>600000</v>
      </c>
      <c r="J18" s="329">
        <f t="shared" si="1"/>
        <v>600000</v>
      </c>
      <c r="K18" s="329">
        <f t="shared" si="1"/>
        <v>1122145</v>
      </c>
      <c r="L18" s="329">
        <f t="shared" si="1"/>
        <v>683700</v>
      </c>
      <c r="M18" s="329">
        <f t="shared" si="1"/>
        <v>0</v>
      </c>
      <c r="N18" s="329"/>
      <c r="O18" s="329">
        <f>O11+SUM(O13:O17)</f>
        <v>36327320</v>
      </c>
      <c r="P18" s="329">
        <f t="shared" si="1"/>
        <v>108981962</v>
      </c>
      <c r="Q18" s="329"/>
      <c r="R18" s="329">
        <f t="shared" si="1"/>
        <v>1122145</v>
      </c>
      <c r="S18" s="329">
        <f>S11+SUM(S13:S17)</f>
        <v>147031427</v>
      </c>
      <c r="T18" s="330">
        <f t="shared" si="0"/>
        <v>101.2</v>
      </c>
      <c r="U18" s="876"/>
    </row>
    <row r="19" spans="1:21" ht="12.75">
      <c r="A19" s="279"/>
      <c r="B19" s="280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876"/>
    </row>
    <row r="20" spans="1:21" ht="13.5" thickBot="1">
      <c r="A20" s="282" t="s">
        <v>88</v>
      </c>
      <c r="B20" s="283"/>
      <c r="C20" s="284"/>
      <c r="D20" s="284"/>
      <c r="E20" s="284"/>
      <c r="F20" s="284"/>
      <c r="G20" s="284"/>
      <c r="H20" s="284"/>
      <c r="I20" s="710"/>
      <c r="J20" s="710"/>
      <c r="K20" s="710"/>
      <c r="L20" s="284"/>
      <c r="M20" s="284"/>
      <c r="N20" s="284"/>
      <c r="O20" s="284"/>
      <c r="P20" s="284"/>
      <c r="Q20" s="284"/>
      <c r="R20" s="284"/>
      <c r="S20" s="710"/>
      <c r="T20" s="284"/>
      <c r="U20" s="876"/>
    </row>
    <row r="21" spans="1:21" ht="13.5" thickBot="1">
      <c r="A21" s="285" t="s">
        <v>92</v>
      </c>
      <c r="B21" s="332"/>
      <c r="C21" s="332"/>
      <c r="D21" s="333"/>
      <c r="E21" s="334">
        <v>1250000</v>
      </c>
      <c r="F21" s="333">
        <v>1678870</v>
      </c>
      <c r="G21" s="333">
        <v>2400000</v>
      </c>
      <c r="H21" s="706">
        <v>510638</v>
      </c>
      <c r="I21" s="334">
        <v>510638</v>
      </c>
      <c r="J21" s="333">
        <v>600000</v>
      </c>
      <c r="K21" s="708">
        <v>600000</v>
      </c>
      <c r="L21" s="708">
        <v>320600</v>
      </c>
      <c r="M21" s="333"/>
      <c r="N21" s="333"/>
      <c r="O21" s="333">
        <v>1250000</v>
      </c>
      <c r="P21" s="333">
        <v>1800000</v>
      </c>
      <c r="Q21" s="333"/>
      <c r="R21" s="706">
        <v>336375</v>
      </c>
      <c r="S21" s="797">
        <f>O21+P21+R21+Q21</f>
        <v>3386375</v>
      </c>
      <c r="T21" s="794">
        <f aca="true" t="shared" si="2" ref="T21:T26">IF((C21&lt;&gt;0),ROUND((S21/C21)*100,1),"")</f>
      </c>
      <c r="U21" s="876"/>
    </row>
    <row r="22" spans="1:21" ht="13.5" thickBot="1">
      <c r="A22" s="286" t="s">
        <v>93</v>
      </c>
      <c r="B22" s="332"/>
      <c r="C22" s="332"/>
      <c r="D22" s="331"/>
      <c r="E22" s="643">
        <v>243750</v>
      </c>
      <c r="F22" s="644">
        <v>327380</v>
      </c>
      <c r="G22" s="644">
        <v>432380</v>
      </c>
      <c r="H22" s="703">
        <v>89362</v>
      </c>
      <c r="I22" s="331">
        <v>89362</v>
      </c>
      <c r="J22" s="331">
        <v>83700</v>
      </c>
      <c r="K22" s="705">
        <v>83700</v>
      </c>
      <c r="L22" s="705">
        <v>55800</v>
      </c>
      <c r="M22" s="331"/>
      <c r="N22" s="644"/>
      <c r="O22" s="644">
        <v>219375</v>
      </c>
      <c r="P22" s="644">
        <v>308701</v>
      </c>
      <c r="Q22" s="644"/>
      <c r="R22" s="704">
        <v>17792186</v>
      </c>
      <c r="S22" s="798">
        <f>O22+P22+R22+Q22</f>
        <v>18320262</v>
      </c>
      <c r="T22" s="795">
        <f t="shared" si="2"/>
      </c>
      <c r="U22" s="876"/>
    </row>
    <row r="23" spans="1:21" ht="13.5" thickBot="1">
      <c r="A23" s="286" t="s">
        <v>94</v>
      </c>
      <c r="B23" s="332"/>
      <c r="C23" s="332"/>
      <c r="D23" s="331"/>
      <c r="E23" s="331">
        <v>11510341</v>
      </c>
      <c r="F23" s="331">
        <v>17818892</v>
      </c>
      <c r="G23" s="331">
        <v>18123692</v>
      </c>
      <c r="H23" s="704">
        <v>2426960</v>
      </c>
      <c r="I23" s="331">
        <v>3581460</v>
      </c>
      <c r="J23" s="331">
        <v>934490</v>
      </c>
      <c r="K23" s="705">
        <v>1727790</v>
      </c>
      <c r="L23" s="705"/>
      <c r="M23" s="331"/>
      <c r="N23" s="331">
        <v>1122851</v>
      </c>
      <c r="O23" s="331">
        <v>9429887</v>
      </c>
      <c r="P23" s="331">
        <v>16304950</v>
      </c>
      <c r="Q23" s="331">
        <v>2116900</v>
      </c>
      <c r="R23" s="704">
        <v>6450680</v>
      </c>
      <c r="S23" s="798">
        <f>N23+O23+P23+R23+Q23</f>
        <v>35425268</v>
      </c>
      <c r="T23" s="795">
        <f t="shared" si="2"/>
      </c>
      <c r="U23" s="876"/>
    </row>
    <row r="24" spans="1:21" ht="13.5" thickBot="1">
      <c r="A24" s="286" t="s">
        <v>95</v>
      </c>
      <c r="B24" s="332"/>
      <c r="C24" s="332"/>
      <c r="D24" s="331"/>
      <c r="E24" s="331">
        <v>46041365</v>
      </c>
      <c r="F24" s="331">
        <v>68814684</v>
      </c>
      <c r="G24" s="331">
        <v>69688754</v>
      </c>
      <c r="H24" s="704">
        <v>23325087</v>
      </c>
      <c r="I24" s="331">
        <v>23325087</v>
      </c>
      <c r="J24" s="331">
        <v>23112825</v>
      </c>
      <c r="K24" s="705">
        <v>23112825</v>
      </c>
      <c r="L24" s="705">
        <v>659749</v>
      </c>
      <c r="M24" s="331"/>
      <c r="N24" s="331"/>
      <c r="O24" s="331">
        <v>44436177</v>
      </c>
      <c r="P24" s="331">
        <v>45463345</v>
      </c>
      <c r="Q24" s="331"/>
      <c r="R24" s="704">
        <v>0</v>
      </c>
      <c r="S24" s="798">
        <f>O24+P24+R24+Q24</f>
        <v>89899522</v>
      </c>
      <c r="T24" s="795">
        <f t="shared" si="2"/>
      </c>
      <c r="U24" s="876"/>
    </row>
    <row r="25" spans="1:21" ht="13.5" thickBot="1">
      <c r="A25" s="287"/>
      <c r="B25" s="332"/>
      <c r="C25" s="332"/>
      <c r="D25" s="335"/>
      <c r="E25" s="335"/>
      <c r="F25" s="335"/>
      <c r="G25" s="335"/>
      <c r="H25" s="707"/>
      <c r="I25" s="792"/>
      <c r="J25" s="792"/>
      <c r="K25" s="793"/>
      <c r="L25" s="709"/>
      <c r="M25" s="335"/>
      <c r="N25" s="335"/>
      <c r="O25" s="335"/>
      <c r="P25" s="335"/>
      <c r="Q25" s="335"/>
      <c r="R25" s="707"/>
      <c r="S25" s="799">
        <f>O25+P25+R25+Q25</f>
        <v>0</v>
      </c>
      <c r="T25" s="796">
        <f t="shared" si="2"/>
      </c>
      <c r="U25" s="876"/>
    </row>
    <row r="26" spans="1:21" ht="13.5" thickBot="1">
      <c r="A26" s="288" t="s">
        <v>74</v>
      </c>
      <c r="B26" s="336">
        <f aca="true" t="shared" si="3" ref="B26:R26">SUM(B21:B25)</f>
        <v>0</v>
      </c>
      <c r="C26" s="336">
        <f t="shared" si="3"/>
        <v>0</v>
      </c>
      <c r="D26" s="336">
        <f>SUM(D21:D25)</f>
        <v>0</v>
      </c>
      <c r="E26" s="336">
        <f>SUM(E21:E25)</f>
        <v>59045456</v>
      </c>
      <c r="F26" s="336">
        <f t="shared" si="3"/>
        <v>88639826</v>
      </c>
      <c r="G26" s="336">
        <f t="shared" si="3"/>
        <v>90644826</v>
      </c>
      <c r="H26" s="336">
        <f t="shared" si="3"/>
        <v>26352047</v>
      </c>
      <c r="I26" s="336">
        <f t="shared" si="3"/>
        <v>27506547</v>
      </c>
      <c r="J26" s="711">
        <f t="shared" si="3"/>
        <v>24731015</v>
      </c>
      <c r="K26" s="711">
        <f t="shared" si="3"/>
        <v>25524315</v>
      </c>
      <c r="L26" s="336">
        <f t="shared" si="3"/>
        <v>1036149</v>
      </c>
      <c r="M26" s="336">
        <f t="shared" si="3"/>
        <v>0</v>
      </c>
      <c r="N26" s="336">
        <f>SUM(N21:N25)</f>
        <v>1122851</v>
      </c>
      <c r="O26" s="336">
        <f>SUM(O21:O25)</f>
        <v>55335439</v>
      </c>
      <c r="P26" s="336">
        <f t="shared" si="3"/>
        <v>63876996</v>
      </c>
      <c r="Q26" s="336">
        <f t="shared" si="3"/>
        <v>2116900</v>
      </c>
      <c r="R26" s="336">
        <f t="shared" si="3"/>
        <v>24579241</v>
      </c>
      <c r="S26" s="711">
        <f>SUM(S21:S25)</f>
        <v>147031427</v>
      </c>
      <c r="T26" s="337">
        <f t="shared" si="2"/>
      </c>
      <c r="U26" s="876"/>
    </row>
    <row r="27" spans="1:21" ht="12.75">
      <c r="A27" s="861" t="s">
        <v>500</v>
      </c>
      <c r="B27" s="861"/>
      <c r="C27" s="861"/>
      <c r="D27" s="861"/>
      <c r="E27" s="861"/>
      <c r="F27" s="861"/>
      <c r="G27" s="861"/>
      <c r="H27" s="861"/>
      <c r="I27" s="861"/>
      <c r="J27" s="861"/>
      <c r="K27" s="861"/>
      <c r="L27" s="861"/>
      <c r="M27" s="861"/>
      <c r="N27" s="861"/>
      <c r="O27" s="861"/>
      <c r="P27" s="861"/>
      <c r="Q27" s="861"/>
      <c r="R27" s="861"/>
      <c r="S27" s="861"/>
      <c r="T27" s="861"/>
      <c r="U27" s="876"/>
    </row>
    <row r="28" spans="1:21" ht="5.25" customHeight="1">
      <c r="A28" s="28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876"/>
    </row>
    <row r="29" spans="1:21" ht="15.75">
      <c r="A29" s="863" t="str">
        <f>+CONCATENATE("Önkormányzaton kívüli EU-s projekthez történő hozzájárulás ",LEFT(Z_ÖSSZEFÜGGÉSEK!A6,4),". XII. 31.  előirányzata és teljesítése")</f>
        <v>Önkormányzaton kívüli EU-s projekthez történő hozzájárulás 2021. XII. 31.  előirányzata és teljesítése</v>
      </c>
      <c r="B29" s="863"/>
      <c r="C29" s="863"/>
      <c r="D29" s="863"/>
      <c r="E29" s="863"/>
      <c r="F29" s="863"/>
      <c r="G29" s="863"/>
      <c r="H29" s="863"/>
      <c r="I29" s="863"/>
      <c r="J29" s="863"/>
      <c r="K29" s="863"/>
      <c r="L29" s="863"/>
      <c r="M29" s="863"/>
      <c r="N29" s="863"/>
      <c r="O29" s="863"/>
      <c r="P29" s="863"/>
      <c r="Q29" s="863"/>
      <c r="R29" s="863"/>
      <c r="S29" s="863"/>
      <c r="T29" s="863"/>
      <c r="U29" s="876"/>
    </row>
    <row r="30" spans="1:21" ht="12" customHeight="1" thickBo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862" t="str">
        <f>S5</f>
        <v> Forintban!</v>
      </c>
      <c r="T30" s="862"/>
      <c r="U30" s="876"/>
    </row>
    <row r="31" spans="1:21" ht="21.75" thickBot="1">
      <c r="A31" s="887" t="s">
        <v>90</v>
      </c>
      <c r="B31" s="888"/>
      <c r="C31" s="888"/>
      <c r="D31" s="888"/>
      <c r="E31" s="888"/>
      <c r="F31" s="888"/>
      <c r="G31" s="888"/>
      <c r="H31" s="888"/>
      <c r="I31" s="888"/>
      <c r="J31" s="888"/>
      <c r="K31" s="888"/>
      <c r="L31" s="888"/>
      <c r="M31" s="888"/>
      <c r="N31" s="888"/>
      <c r="O31" s="888"/>
      <c r="P31" s="888"/>
      <c r="Q31" s="686"/>
      <c r="R31" s="290" t="s">
        <v>451</v>
      </c>
      <c r="S31" s="290" t="s">
        <v>452</v>
      </c>
      <c r="T31" s="290" t="s">
        <v>444</v>
      </c>
      <c r="U31" s="876"/>
    </row>
    <row r="32" spans="1:21" ht="12.75">
      <c r="A32" s="889"/>
      <c r="B32" s="890"/>
      <c r="C32" s="890"/>
      <c r="D32" s="890"/>
      <c r="E32" s="890"/>
      <c r="F32" s="890"/>
      <c r="G32" s="890"/>
      <c r="H32" s="890"/>
      <c r="I32" s="890"/>
      <c r="J32" s="890"/>
      <c r="K32" s="890"/>
      <c r="L32" s="890"/>
      <c r="M32" s="890"/>
      <c r="N32" s="890"/>
      <c r="O32" s="890"/>
      <c r="P32" s="890"/>
      <c r="Q32" s="687"/>
      <c r="R32" s="273"/>
      <c r="S32" s="291"/>
      <c r="T32" s="291"/>
      <c r="U32" s="876"/>
    </row>
    <row r="33" spans="1:21" ht="13.5" thickBot="1">
      <c r="A33" s="884"/>
      <c r="B33" s="885"/>
      <c r="C33" s="885"/>
      <c r="D33" s="885"/>
      <c r="E33" s="885"/>
      <c r="F33" s="885"/>
      <c r="G33" s="885"/>
      <c r="H33" s="885"/>
      <c r="I33" s="885"/>
      <c r="J33" s="885"/>
      <c r="K33" s="885"/>
      <c r="L33" s="885"/>
      <c r="M33" s="885"/>
      <c r="N33" s="885"/>
      <c r="O33" s="885"/>
      <c r="P33" s="885"/>
      <c r="Q33" s="685"/>
      <c r="R33" s="292"/>
      <c r="S33" s="277"/>
      <c r="T33" s="277"/>
      <c r="U33" s="876"/>
    </row>
    <row r="34" spans="1:21" ht="13.5" thickBot="1">
      <c r="A34" s="882" t="s">
        <v>499</v>
      </c>
      <c r="B34" s="883"/>
      <c r="C34" s="883"/>
      <c r="D34" s="883"/>
      <c r="E34" s="883"/>
      <c r="F34" s="883"/>
      <c r="G34" s="883"/>
      <c r="H34" s="883"/>
      <c r="I34" s="883"/>
      <c r="J34" s="883"/>
      <c r="K34" s="883"/>
      <c r="L34" s="883"/>
      <c r="M34" s="883"/>
      <c r="N34" s="883"/>
      <c r="O34" s="883"/>
      <c r="P34" s="883"/>
      <c r="Q34" s="684"/>
      <c r="R34" s="293">
        <f>SUM(R32:R33)</f>
        <v>0</v>
      </c>
      <c r="S34" s="293">
        <f>SUM(S32:S33)</f>
        <v>0</v>
      </c>
      <c r="T34" s="293">
        <f>SUM(T32:T33)</f>
        <v>0</v>
      </c>
      <c r="U34" s="876"/>
    </row>
    <row r="35" ht="12.75">
      <c r="U35" s="876"/>
    </row>
    <row r="50" ht="12.75">
      <c r="A50" s="31"/>
    </row>
  </sheetData>
  <sheetProtection/>
  <mergeCells count="26">
    <mergeCell ref="U4:U35"/>
    <mergeCell ref="S5:T5"/>
    <mergeCell ref="A6:A9"/>
    <mergeCell ref="B6:M6"/>
    <mergeCell ref="A34:P34"/>
    <mergeCell ref="A33:P33"/>
    <mergeCell ref="F4:T4"/>
    <mergeCell ref="A31:P31"/>
    <mergeCell ref="L9:M9"/>
    <mergeCell ref="A32:P32"/>
    <mergeCell ref="A27:T27"/>
    <mergeCell ref="C7:C8"/>
    <mergeCell ref="S30:T30"/>
    <mergeCell ref="A29:T29"/>
    <mergeCell ref="J9:K9"/>
    <mergeCell ref="D9:E9"/>
    <mergeCell ref="O6:T8"/>
    <mergeCell ref="H9:I9"/>
    <mergeCell ref="A4:C4"/>
    <mergeCell ref="B7:B8"/>
    <mergeCell ref="B9:C9"/>
    <mergeCell ref="A1:T1"/>
    <mergeCell ref="A2:T2"/>
    <mergeCell ref="A3:T3"/>
    <mergeCell ref="F7:M7"/>
    <mergeCell ref="F9:G9"/>
  </mergeCells>
  <printOptions horizontalCentered="1"/>
  <pageMargins left="0.7874015748031497" right="0.7874015748031497" top="0.7874015748031497" bottom="0.7874015748031497" header="0.7874015748031497" footer="0.7874015748031497"/>
  <pageSetup fitToHeight="0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60"/>
  <sheetViews>
    <sheetView view="pageBreakPreview" zoomScaleNormal="120" zoomScaleSheetLayoutView="100" workbookViewId="0" topLeftCell="A1">
      <selection activeCell="E145" sqref="E145"/>
    </sheetView>
  </sheetViews>
  <sheetFormatPr defaultColWidth="9.00390625" defaultRowHeight="12.75"/>
  <cols>
    <col min="1" max="1" width="16.125" style="144" customWidth="1"/>
    <col min="2" max="2" width="63.875" style="145" customWidth="1"/>
    <col min="3" max="3" width="14.125" style="146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58"/>
      <c r="B1" s="895" t="str">
        <f>CONCATENATE("10. melléklet ",Z_ALAPADATOK!A7," ",Z_ALAPADATOK!B7," ",Z_ALAPADATOK!C7," ",Z_ALAPADATOK!D7," ",Z_ALAPADATOK!E7," ",Z_ALAPADATOK!F7," ",Z_ALAPADATOK!G7," ",Z_ALAPADATOK!H7)</f>
        <v>10. melléklet a 3 / 2022. ( V. 26. ) önkormányzati rendelethez</v>
      </c>
      <c r="C1" s="896"/>
      <c r="D1" s="896"/>
      <c r="E1" s="896"/>
    </row>
    <row r="2" spans="1:5" s="44" customFormat="1" ht="21" customHeight="1" thickBot="1">
      <c r="A2" s="367" t="s">
        <v>45</v>
      </c>
      <c r="B2" s="894" t="str">
        <f>CONCATENATE(Z_ALAPADATOK!A3)</f>
        <v>Balatonvilágos Község Önkormányzata</v>
      </c>
      <c r="C2" s="894"/>
      <c r="D2" s="894"/>
      <c r="E2" s="368" t="s">
        <v>39</v>
      </c>
    </row>
    <row r="3" spans="1:5" s="44" customFormat="1" ht="24.75" thickBot="1">
      <c r="A3" s="367" t="s">
        <v>136</v>
      </c>
      <c r="B3" s="894" t="s">
        <v>302</v>
      </c>
      <c r="C3" s="894"/>
      <c r="D3" s="894"/>
      <c r="E3" s="369" t="s">
        <v>39</v>
      </c>
    </row>
    <row r="4" spans="1:5" s="45" customFormat="1" ht="15.75" customHeight="1" thickBot="1">
      <c r="A4" s="361"/>
      <c r="B4" s="361"/>
      <c r="C4" s="362"/>
      <c r="D4" s="363"/>
      <c r="E4" s="372" t="str">
        <f>8!G4</f>
        <v> Forintban!</v>
      </c>
    </row>
    <row r="5" spans="1:5" ht="24.75" thickBot="1">
      <c r="A5" s="364" t="s">
        <v>137</v>
      </c>
      <c r="B5" s="365" t="s">
        <v>487</v>
      </c>
      <c r="C5" s="365" t="s">
        <v>453</v>
      </c>
      <c r="D5" s="366" t="s">
        <v>454</v>
      </c>
      <c r="E5" s="347" t="str">
        <f>+CONCATENATE("Teljesítés",CHAR(10),LEFT(Z_ÖSSZEFÜGGÉSEK!A6,4),". XII. 31.")</f>
        <v>Teljesítés
2021. XII. 31.</v>
      </c>
    </row>
    <row r="6" spans="1:5" s="40" customFormat="1" ht="12.75" customHeight="1" thickBot="1">
      <c r="A6" s="66" t="s">
        <v>384</v>
      </c>
      <c r="B6" s="67" t="s">
        <v>385</v>
      </c>
      <c r="C6" s="67" t="s">
        <v>386</v>
      </c>
      <c r="D6" s="294" t="s">
        <v>388</v>
      </c>
      <c r="E6" s="68" t="s">
        <v>387</v>
      </c>
    </row>
    <row r="7" spans="1:5" s="40" customFormat="1" ht="15.75" customHeight="1" thickBot="1">
      <c r="A7" s="891" t="s">
        <v>40</v>
      </c>
      <c r="B7" s="892"/>
      <c r="C7" s="892"/>
      <c r="D7" s="892"/>
      <c r="E7" s="893"/>
    </row>
    <row r="8" spans="1:5" s="40" customFormat="1" ht="12" customHeight="1" thickBot="1">
      <c r="A8" s="24" t="s">
        <v>6</v>
      </c>
      <c r="B8" s="19" t="s">
        <v>159</v>
      </c>
      <c r="C8" s="151">
        <f>+C9+C10+C11+C13+C14+C15+C12</f>
        <v>109423587</v>
      </c>
      <c r="D8" s="234">
        <f>+D9+D10+D11+D13+D14+D15+D12</f>
        <v>138642904</v>
      </c>
      <c r="E8" s="234">
        <f>+E9+E10+E11+E13+E14+E15+E12</f>
        <v>138642904</v>
      </c>
    </row>
    <row r="9" spans="1:5" s="46" customFormat="1" ht="12" customHeight="1">
      <c r="A9" s="181" t="s">
        <v>63</v>
      </c>
      <c r="B9" s="164" t="s">
        <v>160</v>
      </c>
      <c r="C9" s="153">
        <v>33220345</v>
      </c>
      <c r="D9" s="153">
        <v>33400297</v>
      </c>
      <c r="E9" s="89">
        <v>33400297</v>
      </c>
    </row>
    <row r="10" spans="1:5" s="47" customFormat="1" ht="12" customHeight="1">
      <c r="A10" s="182" t="s">
        <v>64</v>
      </c>
      <c r="B10" s="165" t="s">
        <v>161</v>
      </c>
      <c r="C10" s="153">
        <v>40685820</v>
      </c>
      <c r="D10" s="153">
        <v>40132170</v>
      </c>
      <c r="E10" s="88">
        <v>40132170</v>
      </c>
    </row>
    <row r="11" spans="1:5" s="47" customFormat="1" ht="12" customHeight="1">
      <c r="A11" s="182" t="s">
        <v>65</v>
      </c>
      <c r="B11" s="165" t="s">
        <v>162</v>
      </c>
      <c r="C11" s="153">
        <v>9485920</v>
      </c>
      <c r="D11" s="153">
        <v>10036407</v>
      </c>
      <c r="E11" s="88">
        <v>10036407</v>
      </c>
    </row>
    <row r="12" spans="1:5" s="47" customFormat="1" ht="12" customHeight="1">
      <c r="A12" s="182" t="s">
        <v>66</v>
      </c>
      <c r="B12" s="165" t="s">
        <v>623</v>
      </c>
      <c r="C12" s="153">
        <v>22826412</v>
      </c>
      <c r="D12" s="153">
        <v>27358771</v>
      </c>
      <c r="E12" s="88">
        <v>27358771</v>
      </c>
    </row>
    <row r="13" spans="1:5" s="47" customFormat="1" ht="12" customHeight="1">
      <c r="A13" s="182" t="s">
        <v>98</v>
      </c>
      <c r="B13" s="165" t="s">
        <v>163</v>
      </c>
      <c r="C13" s="153">
        <v>3205090</v>
      </c>
      <c r="D13" s="153">
        <v>3258262</v>
      </c>
      <c r="E13" s="88">
        <v>3258262</v>
      </c>
    </row>
    <row r="14" spans="1:5" s="47" customFormat="1" ht="12" customHeight="1">
      <c r="A14" s="183" t="s">
        <v>67</v>
      </c>
      <c r="B14" s="165" t="s">
        <v>392</v>
      </c>
      <c r="C14" s="152"/>
      <c r="D14" s="153">
        <v>23704197</v>
      </c>
      <c r="E14" s="88">
        <v>23704197</v>
      </c>
    </row>
    <row r="15" spans="1:5" s="46" customFormat="1" ht="12" customHeight="1" thickBot="1">
      <c r="A15" s="183" t="s">
        <v>68</v>
      </c>
      <c r="B15" s="166" t="s">
        <v>333</v>
      </c>
      <c r="C15" s="152"/>
      <c r="D15" s="153">
        <v>752800</v>
      </c>
      <c r="E15" s="88">
        <v>752800</v>
      </c>
    </row>
    <row r="16" spans="1:5" s="46" customFormat="1" ht="12" customHeight="1" thickBot="1">
      <c r="A16" s="24" t="s">
        <v>7</v>
      </c>
      <c r="B16" s="94" t="s">
        <v>164</v>
      </c>
      <c r="C16" s="151">
        <f>+C17+C18+C19+C20+C21</f>
        <v>18977700</v>
      </c>
      <c r="D16" s="234">
        <f>+D17+D18+D19+D20+D21</f>
        <v>29061506</v>
      </c>
      <c r="E16" s="87">
        <f>+E17+E18+E19+E20+E21</f>
        <v>28625806</v>
      </c>
    </row>
    <row r="17" spans="1:5" s="46" customFormat="1" ht="12" customHeight="1">
      <c r="A17" s="181" t="s">
        <v>69</v>
      </c>
      <c r="B17" s="164" t="s">
        <v>165</v>
      </c>
      <c r="C17" s="153"/>
      <c r="D17" s="235"/>
      <c r="E17" s="89"/>
    </row>
    <row r="18" spans="1:5" s="46" customFormat="1" ht="12" customHeight="1">
      <c r="A18" s="182" t="s">
        <v>70</v>
      </c>
      <c r="B18" s="165" t="s">
        <v>166</v>
      </c>
      <c r="C18" s="152"/>
      <c r="D18" s="236"/>
      <c r="E18" s="88"/>
    </row>
    <row r="19" spans="1:5" s="46" customFormat="1" ht="12" customHeight="1">
      <c r="A19" s="182" t="s">
        <v>71</v>
      </c>
      <c r="B19" s="165" t="s">
        <v>324</v>
      </c>
      <c r="C19" s="152"/>
      <c r="D19" s="236"/>
      <c r="E19" s="88"/>
    </row>
    <row r="20" spans="1:5" s="46" customFormat="1" ht="12" customHeight="1">
      <c r="A20" s="182" t="s">
        <v>72</v>
      </c>
      <c r="B20" s="165" t="s">
        <v>325</v>
      </c>
      <c r="C20" s="152"/>
      <c r="D20" s="236"/>
      <c r="E20" s="88"/>
    </row>
    <row r="21" spans="1:5" s="46" customFormat="1" ht="12" customHeight="1">
      <c r="A21" s="182" t="s">
        <v>73</v>
      </c>
      <c r="B21" s="165" t="s">
        <v>167</v>
      </c>
      <c r="C21" s="152">
        <v>18977700</v>
      </c>
      <c r="D21" s="236">
        <v>29061506</v>
      </c>
      <c r="E21" s="88">
        <v>28625806</v>
      </c>
    </row>
    <row r="22" spans="1:5" s="47" customFormat="1" ht="12" customHeight="1" thickBot="1">
      <c r="A22" s="183" t="s">
        <v>80</v>
      </c>
      <c r="B22" s="166" t="s">
        <v>168</v>
      </c>
      <c r="C22" s="154"/>
      <c r="D22" s="237"/>
      <c r="E22" s="90"/>
    </row>
    <row r="23" spans="1:5" s="47" customFormat="1" ht="12" customHeight="1" thickBot="1">
      <c r="A23" s="24" t="s">
        <v>8</v>
      </c>
      <c r="B23" s="19" t="s">
        <v>169</v>
      </c>
      <c r="C23" s="151">
        <f>+C24+C25+C26+C27+C28</f>
        <v>0</v>
      </c>
      <c r="D23" s="234">
        <f>+D24+D25+D26+D27+D28</f>
        <v>50735946</v>
      </c>
      <c r="E23" s="87">
        <f>+E24+E25+E26+E27+E28</f>
        <v>50735946</v>
      </c>
    </row>
    <row r="24" spans="1:5" s="47" customFormat="1" ht="12" customHeight="1">
      <c r="A24" s="181" t="s">
        <v>52</v>
      </c>
      <c r="B24" s="164" t="s">
        <v>170</v>
      </c>
      <c r="C24" s="153"/>
      <c r="D24" s="235">
        <v>50735946</v>
      </c>
      <c r="E24" s="89">
        <v>50735946</v>
      </c>
    </row>
    <row r="25" spans="1:5" s="46" customFormat="1" ht="12" customHeight="1">
      <c r="A25" s="182" t="s">
        <v>53</v>
      </c>
      <c r="B25" s="165" t="s">
        <v>171</v>
      </c>
      <c r="C25" s="152"/>
      <c r="D25" s="236"/>
      <c r="E25" s="88"/>
    </row>
    <row r="26" spans="1:5" s="47" customFormat="1" ht="12" customHeight="1">
      <c r="A26" s="182" t="s">
        <v>54</v>
      </c>
      <c r="B26" s="165" t="s">
        <v>326</v>
      </c>
      <c r="C26" s="152"/>
      <c r="D26" s="236"/>
      <c r="E26" s="88"/>
    </row>
    <row r="27" spans="1:5" s="47" customFormat="1" ht="12" customHeight="1">
      <c r="A27" s="182" t="s">
        <v>55</v>
      </c>
      <c r="B27" s="165" t="s">
        <v>327</v>
      </c>
      <c r="C27" s="152"/>
      <c r="D27" s="236"/>
      <c r="E27" s="88"/>
    </row>
    <row r="28" spans="1:5" s="47" customFormat="1" ht="12" customHeight="1">
      <c r="A28" s="182" t="s">
        <v>111</v>
      </c>
      <c r="B28" s="165" t="s">
        <v>172</v>
      </c>
      <c r="C28" s="152"/>
      <c r="D28" s="236"/>
      <c r="E28" s="88"/>
    </row>
    <row r="29" spans="1:5" s="47" customFormat="1" ht="12" customHeight="1" thickBot="1">
      <c r="A29" s="183" t="s">
        <v>112</v>
      </c>
      <c r="B29" s="166" t="s">
        <v>173</v>
      </c>
      <c r="C29" s="154"/>
      <c r="D29" s="237"/>
      <c r="E29" s="90"/>
    </row>
    <row r="30" spans="1:5" s="47" customFormat="1" ht="12" customHeight="1" thickBot="1">
      <c r="A30" s="24" t="s">
        <v>113</v>
      </c>
      <c r="B30" s="19" t="s">
        <v>478</v>
      </c>
      <c r="C30" s="157">
        <f>SUM(C31:C38)</f>
        <v>177300000</v>
      </c>
      <c r="D30" s="157">
        <f>SUM(D31:D38)</f>
        <v>203416565</v>
      </c>
      <c r="E30" s="193">
        <f>SUM(E31:E38)</f>
        <v>202623772</v>
      </c>
    </row>
    <row r="31" spans="1:5" s="47" customFormat="1" ht="12" customHeight="1">
      <c r="A31" s="181" t="s">
        <v>174</v>
      </c>
      <c r="B31" s="164" t="s">
        <v>479</v>
      </c>
      <c r="C31" s="153">
        <v>135000000</v>
      </c>
      <c r="D31" s="153">
        <v>135000000</v>
      </c>
      <c r="E31" s="89">
        <v>133908220</v>
      </c>
    </row>
    <row r="32" spans="1:5" s="47" customFormat="1" ht="12" customHeight="1">
      <c r="A32" s="181" t="s">
        <v>175</v>
      </c>
      <c r="B32" s="164" t="s">
        <v>769</v>
      </c>
      <c r="C32" s="152">
        <v>6500000</v>
      </c>
      <c r="D32" s="152">
        <v>6500000</v>
      </c>
      <c r="E32" s="88">
        <v>6818987</v>
      </c>
    </row>
    <row r="33" spans="1:5" s="47" customFormat="1" ht="12" customHeight="1">
      <c r="A33" s="182" t="s">
        <v>176</v>
      </c>
      <c r="B33" s="165" t="s">
        <v>480</v>
      </c>
      <c r="C33" s="152"/>
      <c r="D33" s="152">
        <v>14218800</v>
      </c>
      <c r="E33" s="88">
        <v>14218800</v>
      </c>
    </row>
    <row r="34" spans="1:5" s="47" customFormat="1" ht="12" customHeight="1">
      <c r="A34" s="182" t="s">
        <v>177</v>
      </c>
      <c r="B34" s="165" t="s">
        <v>481</v>
      </c>
      <c r="C34" s="152">
        <v>35000000</v>
      </c>
      <c r="D34" s="152">
        <v>44694154</v>
      </c>
      <c r="E34" s="88">
        <v>44694154</v>
      </c>
    </row>
    <row r="35" spans="1:5" s="47" customFormat="1" ht="12" customHeight="1">
      <c r="A35" s="182" t="s">
        <v>483</v>
      </c>
      <c r="B35" s="165" t="s">
        <v>770</v>
      </c>
      <c r="C35" s="152">
        <v>650000</v>
      </c>
      <c r="D35" s="152">
        <v>943108</v>
      </c>
      <c r="E35" s="88">
        <v>943108</v>
      </c>
    </row>
    <row r="36" spans="1:5" s="47" customFormat="1" ht="12" customHeight="1">
      <c r="A36" s="182" t="s">
        <v>484</v>
      </c>
      <c r="B36" s="165" t="s">
        <v>773</v>
      </c>
      <c r="C36" s="152"/>
      <c r="D36" s="152">
        <v>345180</v>
      </c>
      <c r="E36" s="88">
        <v>348180</v>
      </c>
    </row>
    <row r="37" spans="1:5" s="47" customFormat="1" ht="12" customHeight="1">
      <c r="A37" s="182" t="s">
        <v>485</v>
      </c>
      <c r="B37" s="165" t="s">
        <v>771</v>
      </c>
      <c r="C37" s="152">
        <v>150000</v>
      </c>
      <c r="D37" s="152">
        <v>150000</v>
      </c>
      <c r="E37" s="88">
        <v>130000</v>
      </c>
    </row>
    <row r="38" spans="1:5" s="47" customFormat="1" ht="12" customHeight="1" thickBot="1">
      <c r="A38" s="183" t="s">
        <v>772</v>
      </c>
      <c r="B38" s="310" t="s">
        <v>774</v>
      </c>
      <c r="C38" s="154"/>
      <c r="D38" s="154">
        <v>1565323</v>
      </c>
      <c r="E38" s="90">
        <v>1562323</v>
      </c>
    </row>
    <row r="39" spans="1:5" s="47" customFormat="1" ht="12" customHeight="1" thickBot="1">
      <c r="A39" s="24" t="s">
        <v>10</v>
      </c>
      <c r="B39" s="19" t="s">
        <v>334</v>
      </c>
      <c r="C39" s="151">
        <f>SUM(C40:C50)</f>
        <v>20765044</v>
      </c>
      <c r="D39" s="234">
        <f>SUM(D40:D50)</f>
        <v>41164553</v>
      </c>
      <c r="E39" s="87">
        <f>SUM(E40:E50)</f>
        <v>41114828</v>
      </c>
    </row>
    <row r="40" spans="1:5" s="47" customFormat="1" ht="12" customHeight="1">
      <c r="A40" s="181" t="s">
        <v>56</v>
      </c>
      <c r="B40" s="164" t="s">
        <v>183</v>
      </c>
      <c r="C40" s="153"/>
      <c r="D40" s="235"/>
      <c r="E40" s="89"/>
    </row>
    <row r="41" spans="1:5" s="47" customFormat="1" ht="12" customHeight="1">
      <c r="A41" s="182" t="s">
        <v>57</v>
      </c>
      <c r="B41" s="165" t="s">
        <v>184</v>
      </c>
      <c r="C41" s="152">
        <v>13185086</v>
      </c>
      <c r="D41" s="236">
        <v>19646785</v>
      </c>
      <c r="E41" s="88">
        <v>19646785</v>
      </c>
    </row>
    <row r="42" spans="1:5" s="47" customFormat="1" ht="12" customHeight="1">
      <c r="A42" s="182" t="s">
        <v>58</v>
      </c>
      <c r="B42" s="165" t="s">
        <v>185</v>
      </c>
      <c r="C42" s="152">
        <v>341940</v>
      </c>
      <c r="D42" s="236">
        <v>456378</v>
      </c>
      <c r="E42" s="88">
        <v>456378</v>
      </c>
    </row>
    <row r="43" spans="1:5" s="47" customFormat="1" ht="12" customHeight="1">
      <c r="A43" s="182" t="s">
        <v>115</v>
      </c>
      <c r="B43" s="165" t="s">
        <v>186</v>
      </c>
      <c r="C43" s="152"/>
      <c r="D43" s="236">
        <v>1070817</v>
      </c>
      <c r="E43" s="88">
        <v>1070817</v>
      </c>
    </row>
    <row r="44" spans="1:5" s="47" customFormat="1" ht="12" customHeight="1">
      <c r="A44" s="182" t="s">
        <v>116</v>
      </c>
      <c r="B44" s="165" t="s">
        <v>187</v>
      </c>
      <c r="C44" s="152"/>
      <c r="D44" s="236"/>
      <c r="E44" s="88"/>
    </row>
    <row r="45" spans="1:5" s="47" customFormat="1" ht="12" customHeight="1">
      <c r="A45" s="182" t="s">
        <v>117</v>
      </c>
      <c r="B45" s="165" t="s">
        <v>188</v>
      </c>
      <c r="C45" s="152">
        <v>7188018</v>
      </c>
      <c r="D45" s="236">
        <v>9165049</v>
      </c>
      <c r="E45" s="88">
        <v>9165049</v>
      </c>
    </row>
    <row r="46" spans="1:5" s="47" customFormat="1" ht="12" customHeight="1">
      <c r="A46" s="182" t="s">
        <v>118</v>
      </c>
      <c r="B46" s="165" t="s">
        <v>189</v>
      </c>
      <c r="C46" s="152"/>
      <c r="D46" s="236"/>
      <c r="E46" s="88"/>
    </row>
    <row r="47" spans="1:5" s="47" customFormat="1" ht="12" customHeight="1">
      <c r="A47" s="182" t="s">
        <v>119</v>
      </c>
      <c r="B47" s="165" t="s">
        <v>486</v>
      </c>
      <c r="C47" s="152">
        <v>50000</v>
      </c>
      <c r="D47" s="236">
        <v>10722470</v>
      </c>
      <c r="E47" s="88">
        <v>10672745</v>
      </c>
    </row>
    <row r="48" spans="1:5" s="47" customFormat="1" ht="12" customHeight="1">
      <c r="A48" s="182" t="s">
        <v>181</v>
      </c>
      <c r="B48" s="165" t="s">
        <v>191</v>
      </c>
      <c r="C48" s="155"/>
      <c r="D48" s="295">
        <v>6251</v>
      </c>
      <c r="E48" s="91">
        <v>6251</v>
      </c>
    </row>
    <row r="49" spans="1:5" s="47" customFormat="1" ht="12" customHeight="1">
      <c r="A49" s="183" t="s">
        <v>182</v>
      </c>
      <c r="B49" s="166" t="s">
        <v>336</v>
      </c>
      <c r="C49" s="156"/>
      <c r="D49" s="296"/>
      <c r="E49" s="92"/>
    </row>
    <row r="50" spans="1:5" s="47" customFormat="1" ht="12" customHeight="1" thickBot="1">
      <c r="A50" s="183" t="s">
        <v>335</v>
      </c>
      <c r="B50" s="166" t="s">
        <v>192</v>
      </c>
      <c r="C50" s="356"/>
      <c r="D50" s="296">
        <v>96803</v>
      </c>
      <c r="E50" s="92">
        <v>96803</v>
      </c>
    </row>
    <row r="51" spans="1:5" s="47" customFormat="1" ht="12" customHeight="1" thickBot="1">
      <c r="A51" s="24" t="s">
        <v>11</v>
      </c>
      <c r="B51" s="19" t="s">
        <v>193</v>
      </c>
      <c r="C51" s="151">
        <f>SUM(C52:C56)</f>
        <v>18199964</v>
      </c>
      <c r="D51" s="234">
        <f>SUM(D52:D56)</f>
        <v>18200000</v>
      </c>
      <c r="E51" s="87">
        <f>SUM(E52:E56)</f>
        <v>18200000</v>
      </c>
    </row>
    <row r="52" spans="1:5" s="47" customFormat="1" ht="12" customHeight="1">
      <c r="A52" s="181" t="s">
        <v>59</v>
      </c>
      <c r="B52" s="164" t="s">
        <v>197</v>
      </c>
      <c r="C52" s="204"/>
      <c r="D52" s="297"/>
      <c r="E52" s="93"/>
    </row>
    <row r="53" spans="1:5" s="47" customFormat="1" ht="12" customHeight="1">
      <c r="A53" s="182" t="s">
        <v>60</v>
      </c>
      <c r="B53" s="165" t="s">
        <v>198</v>
      </c>
      <c r="C53" s="155">
        <v>18199964</v>
      </c>
      <c r="D53" s="295">
        <v>18200000</v>
      </c>
      <c r="E53" s="91">
        <v>18200000</v>
      </c>
    </row>
    <row r="54" spans="1:5" s="47" customFormat="1" ht="12" customHeight="1">
      <c r="A54" s="182" t="s">
        <v>194</v>
      </c>
      <c r="B54" s="165" t="s">
        <v>199</v>
      </c>
      <c r="C54" s="155"/>
      <c r="D54" s="295"/>
      <c r="E54" s="91"/>
    </row>
    <row r="55" spans="1:5" s="47" customFormat="1" ht="12" customHeight="1">
      <c r="A55" s="182" t="s">
        <v>195</v>
      </c>
      <c r="B55" s="165" t="s">
        <v>200</v>
      </c>
      <c r="C55" s="155"/>
      <c r="D55" s="295"/>
      <c r="E55" s="91"/>
    </row>
    <row r="56" spans="1:5" s="47" customFormat="1" ht="12" customHeight="1" thickBot="1">
      <c r="A56" s="183" t="s">
        <v>196</v>
      </c>
      <c r="B56" s="166" t="s">
        <v>201</v>
      </c>
      <c r="C56" s="156"/>
      <c r="D56" s="296"/>
      <c r="E56" s="92"/>
    </row>
    <row r="57" spans="1:5" s="47" customFormat="1" ht="12" customHeight="1" thickBot="1">
      <c r="A57" s="24" t="s">
        <v>120</v>
      </c>
      <c r="B57" s="19" t="s">
        <v>202</v>
      </c>
      <c r="C57" s="151">
        <f>SUM(C58:C60)</f>
        <v>0</v>
      </c>
      <c r="D57" s="234">
        <f>SUM(D58:D60)</f>
        <v>0</v>
      </c>
      <c r="E57" s="87">
        <f>SUM(E58:E60)</f>
        <v>0</v>
      </c>
    </row>
    <row r="58" spans="1:5" s="47" customFormat="1" ht="12" customHeight="1">
      <c r="A58" s="181" t="s">
        <v>61</v>
      </c>
      <c r="B58" s="164" t="s">
        <v>203</v>
      </c>
      <c r="C58" s="153"/>
      <c r="D58" s="235"/>
      <c r="E58" s="89"/>
    </row>
    <row r="59" spans="1:5" s="47" customFormat="1" ht="12" customHeight="1">
      <c r="A59" s="182" t="s">
        <v>62</v>
      </c>
      <c r="B59" s="165" t="s">
        <v>328</v>
      </c>
      <c r="C59" s="152"/>
      <c r="D59" s="236"/>
      <c r="E59" s="88"/>
    </row>
    <row r="60" spans="1:5" s="47" customFormat="1" ht="12" customHeight="1">
      <c r="A60" s="182" t="s">
        <v>206</v>
      </c>
      <c r="B60" s="165" t="s">
        <v>204</v>
      </c>
      <c r="C60" s="152"/>
      <c r="D60" s="236"/>
      <c r="E60" s="88"/>
    </row>
    <row r="61" spans="1:5" s="47" customFormat="1" ht="12" customHeight="1" thickBot="1">
      <c r="A61" s="183" t="s">
        <v>207</v>
      </c>
      <c r="B61" s="166" t="s">
        <v>205</v>
      </c>
      <c r="C61" s="154"/>
      <c r="D61" s="237"/>
      <c r="E61" s="90"/>
    </row>
    <row r="62" spans="1:5" s="47" customFormat="1" ht="12" customHeight="1" thickBot="1">
      <c r="A62" s="24" t="s">
        <v>13</v>
      </c>
      <c r="B62" s="94" t="s">
        <v>208</v>
      </c>
      <c r="C62" s="151">
        <f>SUM(C63:C65)</f>
        <v>792559</v>
      </c>
      <c r="D62" s="234">
        <f>SUM(D63:D65)</f>
        <v>16469014</v>
      </c>
      <c r="E62" s="87">
        <f>SUM(E63:E65)</f>
        <v>16278514</v>
      </c>
    </row>
    <row r="63" spans="1:5" s="47" customFormat="1" ht="12" customHeight="1">
      <c r="A63" s="181" t="s">
        <v>121</v>
      </c>
      <c r="B63" s="164" t="s">
        <v>210</v>
      </c>
      <c r="C63" s="155"/>
      <c r="D63" s="295"/>
      <c r="E63" s="91"/>
    </row>
    <row r="64" spans="1:5" s="47" customFormat="1" ht="12" customHeight="1">
      <c r="A64" s="182" t="s">
        <v>122</v>
      </c>
      <c r="B64" s="165" t="s">
        <v>329</v>
      </c>
      <c r="C64" s="155">
        <v>792559</v>
      </c>
      <c r="D64" s="295">
        <v>15969014</v>
      </c>
      <c r="E64" s="91">
        <v>15778514</v>
      </c>
    </row>
    <row r="65" spans="1:5" s="47" customFormat="1" ht="12" customHeight="1">
      <c r="A65" s="182" t="s">
        <v>141</v>
      </c>
      <c r="B65" s="165" t="s">
        <v>211</v>
      </c>
      <c r="C65" s="155"/>
      <c r="D65" s="295">
        <v>500000</v>
      </c>
      <c r="E65" s="91">
        <v>500000</v>
      </c>
    </row>
    <row r="66" spans="1:5" s="47" customFormat="1" ht="12" customHeight="1" thickBot="1">
      <c r="A66" s="183" t="s">
        <v>209</v>
      </c>
      <c r="B66" s="166" t="s">
        <v>212</v>
      </c>
      <c r="C66" s="155"/>
      <c r="D66" s="295"/>
      <c r="E66" s="91"/>
    </row>
    <row r="67" spans="1:5" s="47" customFormat="1" ht="12" customHeight="1" thickBot="1">
      <c r="A67" s="24" t="s">
        <v>14</v>
      </c>
      <c r="B67" s="19" t="s">
        <v>213</v>
      </c>
      <c r="C67" s="157">
        <f>+C8+C16+C23+C30+C39+C51+C57+C62</f>
        <v>345458854</v>
      </c>
      <c r="D67" s="238">
        <f>+D8+D16+D23+D30+D39+D51+D57+D62</f>
        <v>497690488</v>
      </c>
      <c r="E67" s="193">
        <f>+E8+E16+E23+E30+E39+E51+E57+E62</f>
        <v>496221770</v>
      </c>
    </row>
    <row r="68" spans="1:5" s="47" customFormat="1" ht="12" customHeight="1" thickBot="1">
      <c r="A68" s="184" t="s">
        <v>298</v>
      </c>
      <c r="B68" s="94" t="s">
        <v>215</v>
      </c>
      <c r="C68" s="151">
        <f>SUM(C69:C71)</f>
        <v>0</v>
      </c>
      <c r="D68" s="234">
        <f>SUM(D69:D71)</f>
        <v>0</v>
      </c>
      <c r="E68" s="87">
        <f>SUM(E69:E71)</f>
        <v>0</v>
      </c>
    </row>
    <row r="69" spans="1:5" s="47" customFormat="1" ht="12" customHeight="1">
      <c r="A69" s="181" t="s">
        <v>243</v>
      </c>
      <c r="B69" s="164" t="s">
        <v>216</v>
      </c>
      <c r="C69" s="155"/>
      <c r="D69" s="295"/>
      <c r="E69" s="91"/>
    </row>
    <row r="70" spans="1:5" s="47" customFormat="1" ht="12" customHeight="1">
      <c r="A70" s="182" t="s">
        <v>252</v>
      </c>
      <c r="B70" s="165" t="s">
        <v>217</v>
      </c>
      <c r="C70" s="155"/>
      <c r="D70" s="295"/>
      <c r="E70" s="91"/>
    </row>
    <row r="71" spans="1:5" s="47" customFormat="1" ht="12" customHeight="1" thickBot="1">
      <c r="A71" s="191" t="s">
        <v>253</v>
      </c>
      <c r="B71" s="355" t="s">
        <v>361</v>
      </c>
      <c r="C71" s="356"/>
      <c r="D71" s="298"/>
      <c r="E71" s="357"/>
    </row>
    <row r="72" spans="1:5" s="47" customFormat="1" ht="12" customHeight="1" thickBot="1">
      <c r="A72" s="184" t="s">
        <v>219</v>
      </c>
      <c r="B72" s="94" t="s">
        <v>220</v>
      </c>
      <c r="C72" s="151">
        <f>SUM(C73:C76)</f>
        <v>0</v>
      </c>
      <c r="D72" s="151">
        <f>SUM(D73:D76)</f>
        <v>0</v>
      </c>
      <c r="E72" s="87">
        <f>SUM(E73:E76)</f>
        <v>0</v>
      </c>
    </row>
    <row r="73" spans="1:5" s="47" customFormat="1" ht="12" customHeight="1">
      <c r="A73" s="181" t="s">
        <v>99</v>
      </c>
      <c r="B73" s="338" t="s">
        <v>221</v>
      </c>
      <c r="C73" s="155"/>
      <c r="D73" s="155"/>
      <c r="E73" s="91"/>
    </row>
    <row r="74" spans="1:5" s="47" customFormat="1" ht="12" customHeight="1">
      <c r="A74" s="182" t="s">
        <v>100</v>
      </c>
      <c r="B74" s="338" t="s">
        <v>493</v>
      </c>
      <c r="C74" s="155"/>
      <c r="D74" s="155"/>
      <c r="E74" s="91"/>
    </row>
    <row r="75" spans="1:5" s="47" customFormat="1" ht="12" customHeight="1">
      <c r="A75" s="182" t="s">
        <v>244</v>
      </c>
      <c r="B75" s="338" t="s">
        <v>222</v>
      </c>
      <c r="C75" s="155"/>
      <c r="D75" s="155"/>
      <c r="E75" s="91"/>
    </row>
    <row r="76" spans="1:5" s="47" customFormat="1" ht="12" customHeight="1" thickBot="1">
      <c r="A76" s="183" t="s">
        <v>245</v>
      </c>
      <c r="B76" s="339" t="s">
        <v>494</v>
      </c>
      <c r="C76" s="155"/>
      <c r="D76" s="155"/>
      <c r="E76" s="91"/>
    </row>
    <row r="77" spans="1:5" s="47" customFormat="1" ht="12" customHeight="1" thickBot="1">
      <c r="A77" s="184" t="s">
        <v>223</v>
      </c>
      <c r="B77" s="94" t="s">
        <v>224</v>
      </c>
      <c r="C77" s="151">
        <f>SUM(C78:C79)</f>
        <v>231000000</v>
      </c>
      <c r="D77" s="151">
        <f>SUM(D78:D79)</f>
        <v>312480759</v>
      </c>
      <c r="E77" s="87">
        <f>SUM(E78:E79)</f>
        <v>312480759</v>
      </c>
    </row>
    <row r="78" spans="1:5" s="47" customFormat="1" ht="12" customHeight="1">
      <c r="A78" s="181" t="s">
        <v>246</v>
      </c>
      <c r="B78" s="164" t="s">
        <v>225</v>
      </c>
      <c r="C78" s="155">
        <v>231000000</v>
      </c>
      <c r="D78" s="155">
        <v>312480759</v>
      </c>
      <c r="E78" s="91">
        <v>312480759</v>
      </c>
    </row>
    <row r="79" spans="1:5" s="47" customFormat="1" ht="12" customHeight="1" thickBot="1">
      <c r="A79" s="183" t="s">
        <v>247</v>
      </c>
      <c r="B79" s="166" t="s">
        <v>226</v>
      </c>
      <c r="C79" s="155"/>
      <c r="D79" s="155"/>
      <c r="E79" s="91"/>
    </row>
    <row r="80" spans="1:5" s="46" customFormat="1" ht="12" customHeight="1" thickBot="1">
      <c r="A80" s="184" t="s">
        <v>227</v>
      </c>
      <c r="B80" s="94" t="s">
        <v>228</v>
      </c>
      <c r="C80" s="151">
        <f>SUM(C81:C83)</f>
        <v>0</v>
      </c>
      <c r="D80" s="151">
        <f>SUM(D81:D83)</f>
        <v>4440354</v>
      </c>
      <c r="E80" s="87">
        <f>SUM(E81:E83)</f>
        <v>4440354</v>
      </c>
    </row>
    <row r="81" spans="1:5" s="47" customFormat="1" ht="12" customHeight="1">
      <c r="A81" s="181" t="s">
        <v>248</v>
      </c>
      <c r="B81" s="164" t="s">
        <v>229</v>
      </c>
      <c r="C81" s="155"/>
      <c r="D81" s="155">
        <v>4440354</v>
      </c>
      <c r="E81" s="91">
        <v>4440354</v>
      </c>
    </row>
    <row r="82" spans="1:5" s="47" customFormat="1" ht="12" customHeight="1">
      <c r="A82" s="182" t="s">
        <v>249</v>
      </c>
      <c r="B82" s="165" t="s">
        <v>230</v>
      </c>
      <c r="C82" s="155"/>
      <c r="D82" s="155"/>
      <c r="E82" s="91"/>
    </row>
    <row r="83" spans="1:5" s="47" customFormat="1" ht="12" customHeight="1" thickBot="1">
      <c r="A83" s="183" t="s">
        <v>250</v>
      </c>
      <c r="B83" s="166" t="s">
        <v>495</v>
      </c>
      <c r="C83" s="155"/>
      <c r="D83" s="155"/>
      <c r="E83" s="91"/>
    </row>
    <row r="84" spans="1:5" s="47" customFormat="1" ht="12" customHeight="1" thickBot="1">
      <c r="A84" s="184" t="s">
        <v>231</v>
      </c>
      <c r="B84" s="94" t="s">
        <v>251</v>
      </c>
      <c r="C84" s="151">
        <f>SUM(C85:C88)</f>
        <v>0</v>
      </c>
      <c r="D84" s="151">
        <f>SUM(D85:D88)</f>
        <v>0</v>
      </c>
      <c r="E84" s="87">
        <f>SUM(E85:E88)</f>
        <v>0</v>
      </c>
    </row>
    <row r="85" spans="1:5" s="47" customFormat="1" ht="12" customHeight="1">
      <c r="A85" s="185" t="s">
        <v>232</v>
      </c>
      <c r="B85" s="164" t="s">
        <v>233</v>
      </c>
      <c r="C85" s="155"/>
      <c r="D85" s="155"/>
      <c r="E85" s="91"/>
    </row>
    <row r="86" spans="1:5" s="47" customFormat="1" ht="12" customHeight="1">
      <c r="A86" s="186" t="s">
        <v>234</v>
      </c>
      <c r="B86" s="165" t="s">
        <v>235</v>
      </c>
      <c r="C86" s="155"/>
      <c r="D86" s="155"/>
      <c r="E86" s="91"/>
    </row>
    <row r="87" spans="1:5" s="47" customFormat="1" ht="12" customHeight="1">
      <c r="A87" s="186" t="s">
        <v>236</v>
      </c>
      <c r="B87" s="165" t="s">
        <v>237</v>
      </c>
      <c r="C87" s="155"/>
      <c r="D87" s="155"/>
      <c r="E87" s="91"/>
    </row>
    <row r="88" spans="1:5" s="46" customFormat="1" ht="12" customHeight="1" thickBot="1">
      <c r="A88" s="187" t="s">
        <v>238</v>
      </c>
      <c r="B88" s="166" t="s">
        <v>239</v>
      </c>
      <c r="C88" s="155"/>
      <c r="D88" s="155"/>
      <c r="E88" s="91"/>
    </row>
    <row r="89" spans="1:5" s="46" customFormat="1" ht="12" customHeight="1" thickBot="1">
      <c r="A89" s="184" t="s">
        <v>240</v>
      </c>
      <c r="B89" s="94" t="s">
        <v>375</v>
      </c>
      <c r="C89" s="207"/>
      <c r="D89" s="207"/>
      <c r="E89" s="208"/>
    </row>
    <row r="90" spans="1:5" s="46" customFormat="1" ht="12" customHeight="1" thickBot="1">
      <c r="A90" s="184" t="s">
        <v>393</v>
      </c>
      <c r="B90" s="94" t="s">
        <v>241</v>
      </c>
      <c r="C90" s="207"/>
      <c r="D90" s="207"/>
      <c r="E90" s="208"/>
    </row>
    <row r="91" spans="1:5" s="46" customFormat="1" ht="12" customHeight="1" thickBot="1">
      <c r="A91" s="184" t="s">
        <v>394</v>
      </c>
      <c r="B91" s="171" t="s">
        <v>378</v>
      </c>
      <c r="C91" s="157">
        <f>+C68+C72+C77+C80+C84+C90+C89</f>
        <v>231000000</v>
      </c>
      <c r="D91" s="157">
        <f>+D68+D72+D77+D80+D84+D90+D89</f>
        <v>316921113</v>
      </c>
      <c r="E91" s="193">
        <f>+E68+E72+E77+E80+E84+E90+E89</f>
        <v>316921113</v>
      </c>
    </row>
    <row r="92" spans="1:5" s="46" customFormat="1" ht="12" customHeight="1" thickBot="1">
      <c r="A92" s="188" t="s">
        <v>395</v>
      </c>
      <c r="B92" s="172" t="s">
        <v>396</v>
      </c>
      <c r="C92" s="157">
        <f>+C67+C91</f>
        <v>576458854</v>
      </c>
      <c r="D92" s="157">
        <f>+D67+D91</f>
        <v>814611601</v>
      </c>
      <c r="E92" s="193">
        <f>+E67+E91</f>
        <v>813142883</v>
      </c>
    </row>
    <row r="93" spans="1:3" s="47" customFormat="1" ht="15" customHeight="1" thickBot="1">
      <c r="A93" s="77"/>
      <c r="B93" s="78"/>
      <c r="C93" s="133"/>
    </row>
    <row r="94" spans="1:5" s="40" customFormat="1" ht="16.5" customHeight="1" thickBot="1">
      <c r="A94" s="891" t="s">
        <v>41</v>
      </c>
      <c r="B94" s="892"/>
      <c r="C94" s="892"/>
      <c r="D94" s="892"/>
      <c r="E94" s="893"/>
    </row>
    <row r="95" spans="1:5" s="48" customFormat="1" ht="12" customHeight="1" thickBot="1">
      <c r="A95" s="158" t="s">
        <v>6</v>
      </c>
      <c r="B95" s="23" t="s">
        <v>400</v>
      </c>
      <c r="C95" s="150">
        <f>+C96+C97+C98+C99+C100+C113</f>
        <v>145434618</v>
      </c>
      <c r="D95" s="150">
        <f>+D96+D97+D98+D99+D100+D113</f>
        <v>308995250</v>
      </c>
      <c r="E95" s="217">
        <f>+E96+E97+E98+E99+E100+E113</f>
        <v>138110690</v>
      </c>
    </row>
    <row r="96" spans="1:5" ht="12" customHeight="1">
      <c r="A96" s="189" t="s">
        <v>63</v>
      </c>
      <c r="B96" s="8" t="s">
        <v>35</v>
      </c>
      <c r="C96" s="224">
        <v>16741320</v>
      </c>
      <c r="D96" s="224">
        <v>24518960</v>
      </c>
      <c r="E96" s="218">
        <v>15297143</v>
      </c>
    </row>
    <row r="97" spans="1:5" ht="12" customHeight="1">
      <c r="A97" s="182" t="s">
        <v>64</v>
      </c>
      <c r="B97" s="6" t="s">
        <v>123</v>
      </c>
      <c r="C97" s="152">
        <v>2810278</v>
      </c>
      <c r="D97" s="152">
        <v>2852096</v>
      </c>
      <c r="E97" s="88">
        <v>2260179</v>
      </c>
    </row>
    <row r="98" spans="1:5" ht="12" customHeight="1">
      <c r="A98" s="182" t="s">
        <v>65</v>
      </c>
      <c r="B98" s="6" t="s">
        <v>91</v>
      </c>
      <c r="C98" s="154">
        <v>46725483</v>
      </c>
      <c r="D98" s="152">
        <v>64644619</v>
      </c>
      <c r="E98" s="90">
        <v>51137272</v>
      </c>
    </row>
    <row r="99" spans="1:5" ht="12" customHeight="1">
      <c r="A99" s="182" t="s">
        <v>66</v>
      </c>
      <c r="B99" s="9" t="s">
        <v>124</v>
      </c>
      <c r="C99" s="154">
        <v>5840000</v>
      </c>
      <c r="D99" s="237">
        <v>5840000</v>
      </c>
      <c r="E99" s="90">
        <v>3623347</v>
      </c>
    </row>
    <row r="100" spans="1:5" ht="12" customHeight="1">
      <c r="A100" s="182" t="s">
        <v>75</v>
      </c>
      <c r="B100" s="17" t="s">
        <v>125</v>
      </c>
      <c r="C100" s="154">
        <v>53238537</v>
      </c>
      <c r="D100" s="237">
        <v>66526768</v>
      </c>
      <c r="E100" s="90">
        <v>65792749</v>
      </c>
    </row>
    <row r="101" spans="1:5" ht="12" customHeight="1">
      <c r="A101" s="182" t="s">
        <v>67</v>
      </c>
      <c r="B101" s="6" t="s">
        <v>397</v>
      </c>
      <c r="C101" s="154"/>
      <c r="D101" s="237"/>
      <c r="E101" s="90"/>
    </row>
    <row r="102" spans="1:5" ht="12" customHeight="1">
      <c r="A102" s="182" t="s">
        <v>68</v>
      </c>
      <c r="B102" s="57" t="s">
        <v>341</v>
      </c>
      <c r="C102" s="154"/>
      <c r="D102" s="237"/>
      <c r="E102" s="90"/>
    </row>
    <row r="103" spans="1:5" ht="12" customHeight="1">
      <c r="A103" s="182" t="s">
        <v>76</v>
      </c>
      <c r="B103" s="57" t="s">
        <v>340</v>
      </c>
      <c r="C103" s="154">
        <v>5706888</v>
      </c>
      <c r="D103" s="237">
        <v>5892108</v>
      </c>
      <c r="E103" s="90">
        <v>5892108</v>
      </c>
    </row>
    <row r="104" spans="1:5" ht="12" customHeight="1">
      <c r="A104" s="182" t="s">
        <v>77</v>
      </c>
      <c r="B104" s="57" t="s">
        <v>257</v>
      </c>
      <c r="C104" s="154"/>
      <c r="D104" s="237"/>
      <c r="E104" s="90"/>
    </row>
    <row r="105" spans="1:5" ht="12" customHeight="1">
      <c r="A105" s="182" t="s">
        <v>78</v>
      </c>
      <c r="B105" s="58" t="s">
        <v>258</v>
      </c>
      <c r="C105" s="154"/>
      <c r="D105" s="237"/>
      <c r="E105" s="90"/>
    </row>
    <row r="106" spans="1:5" ht="12" customHeight="1">
      <c r="A106" s="182" t="s">
        <v>79</v>
      </c>
      <c r="B106" s="58" t="s">
        <v>259</v>
      </c>
      <c r="C106" s="154"/>
      <c r="D106" s="237"/>
      <c r="E106" s="90"/>
    </row>
    <row r="107" spans="1:5" ht="12" customHeight="1">
      <c r="A107" s="182" t="s">
        <v>81</v>
      </c>
      <c r="B107" s="57" t="s">
        <v>260</v>
      </c>
      <c r="C107" s="154">
        <v>45252464</v>
      </c>
      <c r="D107" s="237">
        <v>45605175</v>
      </c>
      <c r="E107" s="90">
        <v>45500540</v>
      </c>
    </row>
    <row r="108" spans="1:5" ht="12" customHeight="1">
      <c r="A108" s="182" t="s">
        <v>126</v>
      </c>
      <c r="B108" s="57" t="s">
        <v>261</v>
      </c>
      <c r="C108" s="154"/>
      <c r="D108" s="237"/>
      <c r="E108" s="90"/>
    </row>
    <row r="109" spans="1:5" ht="12" customHeight="1">
      <c r="A109" s="182" t="s">
        <v>255</v>
      </c>
      <c r="B109" s="58" t="s">
        <v>262</v>
      </c>
      <c r="C109" s="152"/>
      <c r="D109" s="237"/>
      <c r="E109" s="90"/>
    </row>
    <row r="110" spans="1:5" ht="12" customHeight="1">
      <c r="A110" s="190" t="s">
        <v>256</v>
      </c>
      <c r="B110" s="59" t="s">
        <v>263</v>
      </c>
      <c r="C110" s="154"/>
      <c r="D110" s="237"/>
      <c r="E110" s="90"/>
    </row>
    <row r="111" spans="1:5" ht="12" customHeight="1">
      <c r="A111" s="182" t="s">
        <v>338</v>
      </c>
      <c r="B111" s="59" t="s">
        <v>264</v>
      </c>
      <c r="C111" s="154"/>
      <c r="D111" s="237"/>
      <c r="E111" s="90"/>
    </row>
    <row r="112" spans="1:5" ht="12" customHeight="1">
      <c r="A112" s="182" t="s">
        <v>339</v>
      </c>
      <c r="B112" s="58" t="s">
        <v>265</v>
      </c>
      <c r="C112" s="152">
        <v>2279185</v>
      </c>
      <c r="D112" s="236">
        <v>15029485</v>
      </c>
      <c r="E112" s="88">
        <v>14400101</v>
      </c>
    </row>
    <row r="113" spans="1:5" ht="12" customHeight="1">
      <c r="A113" s="182" t="s">
        <v>343</v>
      </c>
      <c r="B113" s="9" t="s">
        <v>36</v>
      </c>
      <c r="C113" s="152">
        <v>20079000</v>
      </c>
      <c r="D113" s="236">
        <v>144612807</v>
      </c>
      <c r="E113" s="88"/>
    </row>
    <row r="114" spans="1:5" ht="12" customHeight="1">
      <c r="A114" s="183" t="s">
        <v>344</v>
      </c>
      <c r="B114" s="6" t="s">
        <v>398</v>
      </c>
      <c r="C114" s="154">
        <v>12665713</v>
      </c>
      <c r="D114" s="237">
        <v>137199520</v>
      </c>
      <c r="E114" s="90"/>
    </row>
    <row r="115" spans="1:5" ht="12" customHeight="1" thickBot="1">
      <c r="A115" s="191" t="s">
        <v>345</v>
      </c>
      <c r="B115" s="60" t="s">
        <v>399</v>
      </c>
      <c r="C115" s="225">
        <v>741287</v>
      </c>
      <c r="D115" s="301">
        <v>7413287</v>
      </c>
      <c r="E115" s="219"/>
    </row>
    <row r="116" spans="1:5" ht="12" customHeight="1" thickBot="1">
      <c r="A116" s="24" t="s">
        <v>7</v>
      </c>
      <c r="B116" s="22" t="s">
        <v>266</v>
      </c>
      <c r="C116" s="151">
        <f>+C117+C119+C121</f>
        <v>89013929</v>
      </c>
      <c r="D116" s="234">
        <f>+D117+D119+D121</f>
        <v>160666235</v>
      </c>
      <c r="E116" s="87">
        <f>+E117+E119+E121</f>
        <v>124177393</v>
      </c>
    </row>
    <row r="117" spans="1:5" ht="12" customHeight="1">
      <c r="A117" s="181" t="s">
        <v>69</v>
      </c>
      <c r="B117" s="6" t="s">
        <v>140</v>
      </c>
      <c r="C117" s="153">
        <v>87013929</v>
      </c>
      <c r="D117" s="235">
        <v>105842472</v>
      </c>
      <c r="E117" s="89">
        <v>86343305</v>
      </c>
    </row>
    <row r="118" spans="1:5" ht="12" customHeight="1">
      <c r="A118" s="181" t="s">
        <v>70</v>
      </c>
      <c r="B118" s="10" t="s">
        <v>270</v>
      </c>
      <c r="C118" s="153">
        <v>23112825</v>
      </c>
      <c r="D118" s="235">
        <v>23112825</v>
      </c>
      <c r="E118" s="89">
        <v>22950066</v>
      </c>
    </row>
    <row r="119" spans="1:5" ht="12" customHeight="1">
      <c r="A119" s="181" t="s">
        <v>71</v>
      </c>
      <c r="B119" s="10" t="s">
        <v>127</v>
      </c>
      <c r="C119" s="152"/>
      <c r="D119" s="236">
        <v>52823763</v>
      </c>
      <c r="E119" s="88">
        <v>37834088</v>
      </c>
    </row>
    <row r="120" spans="1:5" ht="12" customHeight="1">
      <c r="A120" s="181" t="s">
        <v>72</v>
      </c>
      <c r="B120" s="10" t="s">
        <v>271</v>
      </c>
      <c r="C120" s="152"/>
      <c r="D120" s="236"/>
      <c r="E120" s="88"/>
    </row>
    <row r="121" spans="1:5" ht="12" customHeight="1">
      <c r="A121" s="181" t="s">
        <v>73</v>
      </c>
      <c r="B121" s="96" t="s">
        <v>142</v>
      </c>
      <c r="C121" s="152">
        <v>2000000</v>
      </c>
      <c r="D121" s="236">
        <v>2000000</v>
      </c>
      <c r="E121" s="88">
        <v>0</v>
      </c>
    </row>
    <row r="122" spans="1:5" ht="12" customHeight="1">
      <c r="A122" s="181" t="s">
        <v>80</v>
      </c>
      <c r="B122" s="95" t="s">
        <v>330</v>
      </c>
      <c r="C122" s="152"/>
      <c r="D122" s="236"/>
      <c r="E122" s="88"/>
    </row>
    <row r="123" spans="1:5" ht="12" customHeight="1">
      <c r="A123" s="181" t="s">
        <v>82</v>
      </c>
      <c r="B123" s="160" t="s">
        <v>276</v>
      </c>
      <c r="C123" s="152"/>
      <c r="D123" s="236"/>
      <c r="E123" s="88"/>
    </row>
    <row r="124" spans="1:5" ht="12" customHeight="1">
      <c r="A124" s="181" t="s">
        <v>128</v>
      </c>
      <c r="B124" s="58" t="s">
        <v>259</v>
      </c>
      <c r="C124" s="152"/>
      <c r="D124" s="236"/>
      <c r="E124" s="88"/>
    </row>
    <row r="125" spans="1:5" ht="12" customHeight="1">
      <c r="A125" s="181" t="s">
        <v>129</v>
      </c>
      <c r="B125" s="58" t="s">
        <v>275</v>
      </c>
      <c r="C125" s="152"/>
      <c r="D125" s="236"/>
      <c r="E125" s="88"/>
    </row>
    <row r="126" spans="1:5" ht="12" customHeight="1">
      <c r="A126" s="181" t="s">
        <v>130</v>
      </c>
      <c r="B126" s="58" t="s">
        <v>274</v>
      </c>
      <c r="C126" s="152"/>
      <c r="D126" s="236"/>
      <c r="E126" s="88"/>
    </row>
    <row r="127" spans="1:5" ht="12" customHeight="1">
      <c r="A127" s="181" t="s">
        <v>267</v>
      </c>
      <c r="B127" s="58" t="s">
        <v>262</v>
      </c>
      <c r="C127" s="152">
        <v>2000000</v>
      </c>
      <c r="D127" s="236">
        <v>2000000</v>
      </c>
      <c r="E127" s="88"/>
    </row>
    <row r="128" spans="1:5" ht="12" customHeight="1">
      <c r="A128" s="181" t="s">
        <v>268</v>
      </c>
      <c r="B128" s="58" t="s">
        <v>273</v>
      </c>
      <c r="C128" s="152"/>
      <c r="D128" s="236"/>
      <c r="E128" s="88"/>
    </row>
    <row r="129" spans="1:5" ht="12" customHeight="1" thickBot="1">
      <c r="A129" s="190" t="s">
        <v>269</v>
      </c>
      <c r="B129" s="58" t="s">
        <v>272</v>
      </c>
      <c r="C129" s="154"/>
      <c r="D129" s="237"/>
      <c r="E129" s="90"/>
    </row>
    <row r="130" spans="1:5" ht="12" customHeight="1" thickBot="1">
      <c r="A130" s="24" t="s">
        <v>8</v>
      </c>
      <c r="B130" s="51" t="s">
        <v>348</v>
      </c>
      <c r="C130" s="151">
        <f>+C95+C116</f>
        <v>234448547</v>
      </c>
      <c r="D130" s="234">
        <f>+D95+D116</f>
        <v>469661485</v>
      </c>
      <c r="E130" s="87">
        <f>+E95+E116</f>
        <v>262288083</v>
      </c>
    </row>
    <row r="131" spans="1:5" ht="12" customHeight="1" thickBot="1">
      <c r="A131" s="24" t="s">
        <v>9</v>
      </c>
      <c r="B131" s="51" t="s">
        <v>349</v>
      </c>
      <c r="C131" s="151">
        <f>+C132+C133+C134</f>
        <v>0</v>
      </c>
      <c r="D131" s="234">
        <f>+D132+D133+D134</f>
        <v>0</v>
      </c>
      <c r="E131" s="87">
        <f>+E132+E133+E134</f>
        <v>0</v>
      </c>
    </row>
    <row r="132" spans="1:5" s="48" customFormat="1" ht="12" customHeight="1">
      <c r="A132" s="181" t="s">
        <v>174</v>
      </c>
      <c r="B132" s="7" t="s">
        <v>403</v>
      </c>
      <c r="C132" s="152"/>
      <c r="D132" s="236"/>
      <c r="E132" s="88"/>
    </row>
    <row r="133" spans="1:5" ht="12" customHeight="1">
      <c r="A133" s="181" t="s">
        <v>175</v>
      </c>
      <c r="B133" s="7" t="s">
        <v>357</v>
      </c>
      <c r="C133" s="152"/>
      <c r="D133" s="236"/>
      <c r="E133" s="88"/>
    </row>
    <row r="134" spans="1:5" ht="12" customHeight="1" thickBot="1">
      <c r="A134" s="190" t="s">
        <v>176</v>
      </c>
      <c r="B134" s="5" t="s">
        <v>402</v>
      </c>
      <c r="C134" s="152"/>
      <c r="D134" s="236"/>
      <c r="E134" s="88"/>
    </row>
    <row r="135" spans="1:5" ht="12" customHeight="1" thickBot="1">
      <c r="A135" s="24" t="s">
        <v>10</v>
      </c>
      <c r="B135" s="51" t="s">
        <v>350</v>
      </c>
      <c r="C135" s="151">
        <f>+C136+C137+C138+C139+C140+C141</f>
        <v>0</v>
      </c>
      <c r="D135" s="234">
        <f>+D136+D137+D138+D139+D140+D141</f>
        <v>0</v>
      </c>
      <c r="E135" s="87">
        <f>+E136+E137+E138+E139+E140+E141</f>
        <v>0</v>
      </c>
    </row>
    <row r="136" spans="1:5" ht="12" customHeight="1">
      <c r="A136" s="181" t="s">
        <v>56</v>
      </c>
      <c r="B136" s="7" t="s">
        <v>359</v>
      </c>
      <c r="C136" s="152"/>
      <c r="D136" s="236"/>
      <c r="E136" s="88"/>
    </row>
    <row r="137" spans="1:5" ht="12" customHeight="1">
      <c r="A137" s="181" t="s">
        <v>57</v>
      </c>
      <c r="B137" s="7" t="s">
        <v>351</v>
      </c>
      <c r="C137" s="152"/>
      <c r="D137" s="236"/>
      <c r="E137" s="88"/>
    </row>
    <row r="138" spans="1:5" ht="12" customHeight="1">
      <c r="A138" s="181" t="s">
        <v>58</v>
      </c>
      <c r="B138" s="7" t="s">
        <v>352</v>
      </c>
      <c r="C138" s="152"/>
      <c r="D138" s="236"/>
      <c r="E138" s="88"/>
    </row>
    <row r="139" spans="1:5" ht="12" customHeight="1">
      <c r="A139" s="181" t="s">
        <v>115</v>
      </c>
      <c r="B139" s="7" t="s">
        <v>401</v>
      </c>
      <c r="C139" s="152"/>
      <c r="D139" s="236"/>
      <c r="E139" s="88"/>
    </row>
    <row r="140" spans="1:5" ht="12" customHeight="1">
      <c r="A140" s="181" t="s">
        <v>116</v>
      </c>
      <c r="B140" s="7" t="s">
        <v>354</v>
      </c>
      <c r="C140" s="152"/>
      <c r="D140" s="236"/>
      <c r="E140" s="88"/>
    </row>
    <row r="141" spans="1:5" s="48" customFormat="1" ht="12" customHeight="1" thickBot="1">
      <c r="A141" s="190" t="s">
        <v>117</v>
      </c>
      <c r="B141" s="5" t="s">
        <v>355</v>
      </c>
      <c r="C141" s="152"/>
      <c r="D141" s="236"/>
      <c r="E141" s="88"/>
    </row>
    <row r="142" spans="1:9" ht="12" customHeight="1" thickBot="1">
      <c r="A142" s="24" t="s">
        <v>11</v>
      </c>
      <c r="B142" s="51" t="s">
        <v>416</v>
      </c>
      <c r="C142" s="157">
        <f>+C143+C144+C146+C147+C145</f>
        <v>342010307</v>
      </c>
      <c r="D142" s="238">
        <f>+D143+D144+D146+D147+D145</f>
        <v>344950116</v>
      </c>
      <c r="E142" s="193">
        <f>+E143+E144+E146+E147+E145</f>
        <v>292966336</v>
      </c>
      <c r="I142" s="86"/>
    </row>
    <row r="143" spans="1:5" ht="12.75">
      <c r="A143" s="181" t="s">
        <v>59</v>
      </c>
      <c r="B143" s="7" t="s">
        <v>277</v>
      </c>
      <c r="C143" s="152"/>
      <c r="D143" s="236"/>
      <c r="E143" s="88"/>
    </row>
    <row r="144" spans="1:5" ht="12" customHeight="1">
      <c r="A144" s="181" t="s">
        <v>60</v>
      </c>
      <c r="B144" s="7" t="s">
        <v>278</v>
      </c>
      <c r="C144" s="152">
        <v>4376944</v>
      </c>
      <c r="D144" s="236">
        <v>4376944</v>
      </c>
      <c r="E144" s="88">
        <v>4376944</v>
      </c>
    </row>
    <row r="145" spans="1:5" ht="12" customHeight="1">
      <c r="A145" s="181" t="s">
        <v>194</v>
      </c>
      <c r="B145" s="7" t="s">
        <v>415</v>
      </c>
      <c r="C145" s="152">
        <v>337633363</v>
      </c>
      <c r="D145" s="236">
        <v>340573172</v>
      </c>
      <c r="E145" s="88">
        <v>288589392</v>
      </c>
    </row>
    <row r="146" spans="1:5" s="48" customFormat="1" ht="12" customHeight="1">
      <c r="A146" s="181" t="s">
        <v>195</v>
      </c>
      <c r="B146" s="7" t="s">
        <v>364</v>
      </c>
      <c r="C146" s="152"/>
      <c r="D146" s="236"/>
      <c r="E146" s="88"/>
    </row>
    <row r="147" spans="1:5" s="48" customFormat="1" ht="12" customHeight="1" thickBot="1">
      <c r="A147" s="190" t="s">
        <v>196</v>
      </c>
      <c r="B147" s="5" t="s">
        <v>294</v>
      </c>
      <c r="C147" s="152"/>
      <c r="D147" s="236"/>
      <c r="E147" s="88"/>
    </row>
    <row r="148" spans="1:5" s="48" customFormat="1" ht="12" customHeight="1" thickBot="1">
      <c r="A148" s="24" t="s">
        <v>12</v>
      </c>
      <c r="B148" s="51" t="s">
        <v>365</v>
      </c>
      <c r="C148" s="227">
        <f>+C149+C150+C151+C152+C153</f>
        <v>0</v>
      </c>
      <c r="D148" s="239">
        <f>+D149+D150+D151+D152+D153</f>
        <v>0</v>
      </c>
      <c r="E148" s="221">
        <f>+E149+E150+E151+E152+E153</f>
        <v>0</v>
      </c>
    </row>
    <row r="149" spans="1:5" s="48" customFormat="1" ht="12" customHeight="1">
      <c r="A149" s="181" t="s">
        <v>61</v>
      </c>
      <c r="B149" s="7" t="s">
        <v>360</v>
      </c>
      <c r="C149" s="152"/>
      <c r="D149" s="236"/>
      <c r="E149" s="88"/>
    </row>
    <row r="150" spans="1:5" s="48" customFormat="1" ht="12" customHeight="1">
      <c r="A150" s="181" t="s">
        <v>62</v>
      </c>
      <c r="B150" s="7" t="s">
        <v>367</v>
      </c>
      <c r="C150" s="152"/>
      <c r="D150" s="236"/>
      <c r="E150" s="88"/>
    </row>
    <row r="151" spans="1:5" s="48" customFormat="1" ht="12" customHeight="1">
      <c r="A151" s="181" t="s">
        <v>206</v>
      </c>
      <c r="B151" s="7" t="s">
        <v>362</v>
      </c>
      <c r="C151" s="152"/>
      <c r="D151" s="236"/>
      <c r="E151" s="88"/>
    </row>
    <row r="152" spans="1:5" s="48" customFormat="1" ht="12" customHeight="1">
      <c r="A152" s="181" t="s">
        <v>207</v>
      </c>
      <c r="B152" s="7" t="s">
        <v>404</v>
      </c>
      <c r="C152" s="152"/>
      <c r="D152" s="236"/>
      <c r="E152" s="88"/>
    </row>
    <row r="153" spans="1:5" ht="12.75" customHeight="1" thickBot="1">
      <c r="A153" s="190" t="s">
        <v>366</v>
      </c>
      <c r="B153" s="5" t="s">
        <v>369</v>
      </c>
      <c r="C153" s="154"/>
      <c r="D153" s="237"/>
      <c r="E153" s="90"/>
    </row>
    <row r="154" spans="1:5" ht="12.75" customHeight="1" thickBot="1">
      <c r="A154" s="216" t="s">
        <v>13</v>
      </c>
      <c r="B154" s="51" t="s">
        <v>370</v>
      </c>
      <c r="C154" s="227"/>
      <c r="D154" s="239"/>
      <c r="E154" s="221"/>
    </row>
    <row r="155" spans="1:5" ht="12.75" customHeight="1" thickBot="1">
      <c r="A155" s="216" t="s">
        <v>14</v>
      </c>
      <c r="B155" s="51" t="s">
        <v>371</v>
      </c>
      <c r="C155" s="227"/>
      <c r="D155" s="239"/>
      <c r="E155" s="221"/>
    </row>
    <row r="156" spans="1:5" ht="12" customHeight="1" thickBot="1">
      <c r="A156" s="24" t="s">
        <v>15</v>
      </c>
      <c r="B156" s="51" t="s">
        <v>373</v>
      </c>
      <c r="C156" s="229">
        <f>+C131+C135+C142+C148+C154+C155</f>
        <v>342010307</v>
      </c>
      <c r="D156" s="241">
        <f>+D131+D135+D142+D148+D154+D155</f>
        <v>344950116</v>
      </c>
      <c r="E156" s="223">
        <f>+E131+E135+E142+E148+E154+E155</f>
        <v>292966336</v>
      </c>
    </row>
    <row r="157" spans="1:5" ht="15" customHeight="1" thickBot="1">
      <c r="A157" s="192" t="s">
        <v>16</v>
      </c>
      <c r="B157" s="138" t="s">
        <v>372</v>
      </c>
      <c r="C157" s="229">
        <f>+C130+C156</f>
        <v>576458854</v>
      </c>
      <c r="D157" s="241">
        <f>+D130+D156</f>
        <v>814611601</v>
      </c>
      <c r="E157" s="223">
        <f>+E130+E156</f>
        <v>555254419</v>
      </c>
    </row>
    <row r="158" spans="1:5" ht="13.5" thickBot="1">
      <c r="A158" s="141"/>
      <c r="B158" s="142"/>
      <c r="C158" s="546">
        <f>C92-C157</f>
        <v>0</v>
      </c>
      <c r="D158" s="546">
        <f>D92-D157</f>
        <v>0</v>
      </c>
      <c r="E158" s="143"/>
    </row>
    <row r="159" spans="1:5" ht="15" customHeight="1" thickBot="1">
      <c r="A159" s="84" t="s">
        <v>488</v>
      </c>
      <c r="B159" s="85"/>
      <c r="C159" s="300">
        <v>1</v>
      </c>
      <c r="D159" s="300">
        <v>1</v>
      </c>
      <c r="E159" s="299">
        <v>1</v>
      </c>
    </row>
    <row r="160" spans="1:5" ht="14.25" customHeight="1" thickBot="1">
      <c r="A160" s="84" t="s">
        <v>489</v>
      </c>
      <c r="B160" s="85"/>
      <c r="C160" s="300">
        <v>0</v>
      </c>
      <c r="D160" s="300">
        <v>0</v>
      </c>
      <c r="E160" s="299">
        <v>0</v>
      </c>
    </row>
  </sheetData>
  <sheetProtection formatCells="0"/>
  <mergeCells count="5">
    <mergeCell ref="A7:E7"/>
    <mergeCell ref="B2:D2"/>
    <mergeCell ref="B3:D3"/>
    <mergeCell ref="A94:E9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  <rowBreaks count="1" manualBreakCount="1">
    <brk id="9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160"/>
  <sheetViews>
    <sheetView view="pageBreakPreview" zoomScaleNormal="120" zoomScaleSheetLayoutView="100" workbookViewId="0" topLeftCell="A1">
      <selection activeCell="D151" sqref="D151"/>
    </sheetView>
  </sheetViews>
  <sheetFormatPr defaultColWidth="9.00390625" defaultRowHeight="12.75"/>
  <cols>
    <col min="1" max="1" width="16.125" style="144" customWidth="1"/>
    <col min="2" max="2" width="62.00390625" style="145" customWidth="1"/>
    <col min="3" max="3" width="14.125" style="146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58"/>
      <c r="B1" s="895" t="str">
        <f>CONCATENATE("11. melléklet ",Z_ALAPADATOK!A7," ",Z_ALAPADATOK!B7," ",Z_ALAPADATOK!C7," ",Z_ALAPADATOK!D7," ",Z_ALAPADATOK!E7," ",Z_ALAPADATOK!F7," ",Z_ALAPADATOK!G7," ",Z_ALAPADATOK!H7)</f>
        <v>11. melléklet a 3 / 2022. ( V. 26. ) önkormányzati rendelethez</v>
      </c>
      <c r="C1" s="896"/>
      <c r="D1" s="896"/>
      <c r="E1" s="896"/>
    </row>
    <row r="2" spans="1:5" s="44" customFormat="1" ht="21" customHeight="1" thickBot="1">
      <c r="A2" s="367" t="s">
        <v>45</v>
      </c>
      <c r="B2" s="894" t="str">
        <f>CONCATENATE(Z_ALAPADATOK!A3)</f>
        <v>Balatonvilágos Község Önkormányzata</v>
      </c>
      <c r="C2" s="894"/>
      <c r="D2" s="894"/>
      <c r="E2" s="368" t="s">
        <v>39</v>
      </c>
    </row>
    <row r="3" spans="1:5" s="44" customFormat="1" ht="24.75" thickBot="1">
      <c r="A3" s="367" t="s">
        <v>136</v>
      </c>
      <c r="B3" s="894" t="s">
        <v>321</v>
      </c>
      <c r="C3" s="894"/>
      <c r="D3" s="894"/>
      <c r="E3" s="369" t="s">
        <v>43</v>
      </c>
    </row>
    <row r="4" spans="1:5" s="45" customFormat="1" ht="15.75" customHeight="1" thickBot="1">
      <c r="A4" s="361"/>
      <c r="B4" s="361"/>
      <c r="C4" s="362"/>
      <c r="D4" s="363"/>
      <c r="E4" s="362" t="str">
        <f>'10'!E4</f>
        <v> Forintban!</v>
      </c>
    </row>
    <row r="5" spans="1:5" ht="24.75" thickBot="1">
      <c r="A5" s="364" t="s">
        <v>137</v>
      </c>
      <c r="B5" s="365" t="s">
        <v>487</v>
      </c>
      <c r="C5" s="365" t="s">
        <v>453</v>
      </c>
      <c r="D5" s="366" t="s">
        <v>454</v>
      </c>
      <c r="E5" s="347" t="str">
        <f>CONCATENATE('10'!E5)</f>
        <v>Teljesítés
2021. XII. 31.</v>
      </c>
    </row>
    <row r="6" spans="1:5" s="40" customFormat="1" ht="12.75" customHeight="1" thickBot="1">
      <c r="A6" s="66" t="s">
        <v>384</v>
      </c>
      <c r="B6" s="67" t="s">
        <v>385</v>
      </c>
      <c r="C6" s="67" t="s">
        <v>386</v>
      </c>
      <c r="D6" s="294" t="s">
        <v>388</v>
      </c>
      <c r="E6" s="68" t="s">
        <v>387</v>
      </c>
    </row>
    <row r="7" spans="1:5" s="40" customFormat="1" ht="15.75" customHeight="1" thickBot="1">
      <c r="A7" s="891" t="s">
        <v>40</v>
      </c>
      <c r="B7" s="892"/>
      <c r="C7" s="892"/>
      <c r="D7" s="892"/>
      <c r="E7" s="893"/>
    </row>
    <row r="8" spans="1:5" s="40" customFormat="1" ht="12" customHeight="1" thickBot="1">
      <c r="A8" s="24" t="s">
        <v>6</v>
      </c>
      <c r="B8" s="19" t="s">
        <v>159</v>
      </c>
      <c r="C8" s="151">
        <f>+C9+C10+C11+C12+C13+C15</f>
        <v>109423587</v>
      </c>
      <c r="D8" s="234">
        <f>+D9+D10+D11+D12+D13+D15+D14</f>
        <v>138642904</v>
      </c>
      <c r="E8" s="234">
        <f>+E9+E10+E11+E13+E14+E15+E12</f>
        <v>138642904</v>
      </c>
    </row>
    <row r="9" spans="1:5" s="46" customFormat="1" ht="12" customHeight="1">
      <c r="A9" s="181" t="s">
        <v>63</v>
      </c>
      <c r="B9" s="164" t="s">
        <v>160</v>
      </c>
      <c r="C9" s="153">
        <v>33220345</v>
      </c>
      <c r="D9" s="235">
        <v>33400297</v>
      </c>
      <c r="E9" s="89">
        <v>33400297</v>
      </c>
    </row>
    <row r="10" spans="1:5" s="47" customFormat="1" ht="12" customHeight="1">
      <c r="A10" s="182" t="s">
        <v>64</v>
      </c>
      <c r="B10" s="165" t="s">
        <v>161</v>
      </c>
      <c r="C10" s="152">
        <v>40685820</v>
      </c>
      <c r="D10" s="236">
        <v>40132170</v>
      </c>
      <c r="E10" s="88">
        <v>40132170</v>
      </c>
    </row>
    <row r="11" spans="1:5" s="47" customFormat="1" ht="12" customHeight="1">
      <c r="A11" s="182" t="s">
        <v>65</v>
      </c>
      <c r="B11" s="165" t="s">
        <v>162</v>
      </c>
      <c r="C11" s="152">
        <v>9485920</v>
      </c>
      <c r="D11" s="236">
        <v>10036407</v>
      </c>
      <c r="E11" s="88">
        <v>10036407</v>
      </c>
    </row>
    <row r="12" spans="1:5" s="47" customFormat="1" ht="12" customHeight="1">
      <c r="A12" s="182" t="s">
        <v>66</v>
      </c>
      <c r="B12" s="165" t="s">
        <v>623</v>
      </c>
      <c r="C12" s="152">
        <v>22826412</v>
      </c>
      <c r="D12" s="236">
        <v>27358771</v>
      </c>
      <c r="E12" s="88">
        <v>27358771</v>
      </c>
    </row>
    <row r="13" spans="1:5" s="47" customFormat="1" ht="12" customHeight="1">
      <c r="A13" s="182" t="s">
        <v>98</v>
      </c>
      <c r="B13" s="165" t="s">
        <v>163</v>
      </c>
      <c r="C13" s="152">
        <v>3205090</v>
      </c>
      <c r="D13" s="236">
        <v>3258262</v>
      </c>
      <c r="E13" s="88">
        <v>3258262</v>
      </c>
    </row>
    <row r="14" spans="1:5" s="47" customFormat="1" ht="12" customHeight="1">
      <c r="A14" s="183" t="s">
        <v>67</v>
      </c>
      <c r="B14" s="165" t="s">
        <v>392</v>
      </c>
      <c r="C14" s="152"/>
      <c r="D14" s="236">
        <v>23704197</v>
      </c>
      <c r="E14" s="88">
        <v>23704197</v>
      </c>
    </row>
    <row r="15" spans="1:5" s="46" customFormat="1" ht="12" customHeight="1" thickBot="1">
      <c r="A15" s="183" t="s">
        <v>68</v>
      </c>
      <c r="B15" s="166" t="s">
        <v>333</v>
      </c>
      <c r="C15" s="152"/>
      <c r="D15" s="236">
        <v>752800</v>
      </c>
      <c r="E15" s="88">
        <v>752800</v>
      </c>
    </row>
    <row r="16" spans="1:5" s="46" customFormat="1" ht="12" customHeight="1" thickBot="1">
      <c r="A16" s="24" t="s">
        <v>7</v>
      </c>
      <c r="B16" s="94" t="s">
        <v>164</v>
      </c>
      <c r="C16" s="151">
        <f>+C17+C18+C19+C20+C21</f>
        <v>18977700</v>
      </c>
      <c r="D16" s="234">
        <f>+D17+D18+D19+D20+D21</f>
        <v>29061506</v>
      </c>
      <c r="E16" s="87">
        <f>+E17+E18+E19+E20+E21</f>
        <v>28625806</v>
      </c>
    </row>
    <row r="17" spans="1:5" s="46" customFormat="1" ht="12" customHeight="1">
      <c r="A17" s="181" t="s">
        <v>69</v>
      </c>
      <c r="B17" s="164" t="s">
        <v>165</v>
      </c>
      <c r="C17" s="153"/>
      <c r="D17" s="235"/>
      <c r="E17" s="89"/>
    </row>
    <row r="18" spans="1:5" s="46" customFormat="1" ht="12" customHeight="1">
      <c r="A18" s="182" t="s">
        <v>70</v>
      </c>
      <c r="B18" s="165" t="s">
        <v>166</v>
      </c>
      <c r="C18" s="152"/>
      <c r="D18" s="236"/>
      <c r="E18" s="88"/>
    </row>
    <row r="19" spans="1:5" s="46" customFormat="1" ht="12" customHeight="1">
      <c r="A19" s="182" t="s">
        <v>71</v>
      </c>
      <c r="B19" s="165" t="s">
        <v>324</v>
      </c>
      <c r="C19" s="152"/>
      <c r="D19" s="236"/>
      <c r="E19" s="88"/>
    </row>
    <row r="20" spans="1:5" s="46" customFormat="1" ht="12" customHeight="1">
      <c r="A20" s="182" t="s">
        <v>72</v>
      </c>
      <c r="B20" s="165" t="s">
        <v>325</v>
      </c>
      <c r="C20" s="152"/>
      <c r="D20" s="236"/>
      <c r="E20" s="88"/>
    </row>
    <row r="21" spans="1:5" s="46" customFormat="1" ht="12" customHeight="1">
      <c r="A21" s="182" t="s">
        <v>73</v>
      </c>
      <c r="B21" s="165" t="s">
        <v>167</v>
      </c>
      <c r="C21" s="152">
        <v>18977700</v>
      </c>
      <c r="D21" s="236">
        <v>29061506</v>
      </c>
      <c r="E21" s="88">
        <v>28625806</v>
      </c>
    </row>
    <row r="22" spans="1:5" s="47" customFormat="1" ht="12" customHeight="1" thickBot="1">
      <c r="A22" s="183" t="s">
        <v>80</v>
      </c>
      <c r="B22" s="166" t="s">
        <v>168</v>
      </c>
      <c r="C22" s="154"/>
      <c r="D22" s="237"/>
      <c r="E22" s="90"/>
    </row>
    <row r="23" spans="1:5" s="47" customFormat="1" ht="12" customHeight="1" thickBot="1">
      <c r="A23" s="24" t="s">
        <v>8</v>
      </c>
      <c r="B23" s="19" t="s">
        <v>169</v>
      </c>
      <c r="C23" s="151">
        <f>+C24+C25+C26+C27+C28</f>
        <v>0</v>
      </c>
      <c r="D23" s="234">
        <f>+D24+D25+D26+D27+D28</f>
        <v>50735946</v>
      </c>
      <c r="E23" s="87">
        <f>+E24+E25+E26+E27+E28</f>
        <v>50735946</v>
      </c>
    </row>
    <row r="24" spans="1:5" s="47" customFormat="1" ht="12" customHeight="1">
      <c r="A24" s="181" t="s">
        <v>52</v>
      </c>
      <c r="B24" s="164" t="s">
        <v>170</v>
      </c>
      <c r="C24" s="153"/>
      <c r="D24" s="235">
        <v>50735946</v>
      </c>
      <c r="E24" s="89">
        <v>50735946</v>
      </c>
    </row>
    <row r="25" spans="1:5" s="46" customFormat="1" ht="12" customHeight="1">
      <c r="A25" s="182" t="s">
        <v>53</v>
      </c>
      <c r="B25" s="165" t="s">
        <v>171</v>
      </c>
      <c r="C25" s="152"/>
      <c r="D25" s="236"/>
      <c r="E25" s="88"/>
    </row>
    <row r="26" spans="1:5" s="47" customFormat="1" ht="12" customHeight="1">
      <c r="A26" s="182" t="s">
        <v>54</v>
      </c>
      <c r="B26" s="165" t="s">
        <v>326</v>
      </c>
      <c r="C26" s="152"/>
      <c r="D26" s="236"/>
      <c r="E26" s="88"/>
    </row>
    <row r="27" spans="1:5" s="47" customFormat="1" ht="12" customHeight="1">
      <c r="A27" s="182" t="s">
        <v>55</v>
      </c>
      <c r="B27" s="165" t="s">
        <v>327</v>
      </c>
      <c r="C27" s="152"/>
      <c r="D27" s="236"/>
      <c r="E27" s="88"/>
    </row>
    <row r="28" spans="1:5" s="47" customFormat="1" ht="12" customHeight="1">
      <c r="A28" s="182" t="s">
        <v>111</v>
      </c>
      <c r="B28" s="165" t="s">
        <v>172</v>
      </c>
      <c r="C28" s="152"/>
      <c r="D28" s="236"/>
      <c r="E28" s="88"/>
    </row>
    <row r="29" spans="1:5" s="47" customFormat="1" ht="12" customHeight="1" thickBot="1">
      <c r="A29" s="183" t="s">
        <v>112</v>
      </c>
      <c r="B29" s="166" t="s">
        <v>173</v>
      </c>
      <c r="C29" s="154"/>
      <c r="D29" s="237"/>
      <c r="E29" s="90"/>
    </row>
    <row r="30" spans="1:5" s="47" customFormat="1" ht="12" customHeight="1" thickBot="1">
      <c r="A30" s="24" t="s">
        <v>113</v>
      </c>
      <c r="B30" s="19" t="s">
        <v>478</v>
      </c>
      <c r="C30" s="157">
        <f>SUM(C31:C38)</f>
        <v>177300000</v>
      </c>
      <c r="D30" s="157">
        <f>SUM(D31:D38)</f>
        <v>203416565</v>
      </c>
      <c r="E30" s="193">
        <f>SUM(E31:E38)</f>
        <v>202626772</v>
      </c>
    </row>
    <row r="31" spans="1:5" s="47" customFormat="1" ht="12" customHeight="1">
      <c r="A31" s="181" t="s">
        <v>174</v>
      </c>
      <c r="B31" s="164" t="s">
        <v>479</v>
      </c>
      <c r="C31" s="153">
        <v>135000000</v>
      </c>
      <c r="D31" s="153">
        <v>135000000</v>
      </c>
      <c r="E31" s="89">
        <v>133908220</v>
      </c>
    </row>
    <row r="32" spans="1:5" s="47" customFormat="1" ht="12" customHeight="1">
      <c r="A32" s="181" t="s">
        <v>175</v>
      </c>
      <c r="B32" s="164" t="s">
        <v>769</v>
      </c>
      <c r="C32" s="152">
        <v>6500000</v>
      </c>
      <c r="D32" s="152">
        <v>6500000</v>
      </c>
      <c r="E32" s="88">
        <v>6818987</v>
      </c>
    </row>
    <row r="33" spans="1:5" s="47" customFormat="1" ht="12" customHeight="1">
      <c r="A33" s="182" t="s">
        <v>176</v>
      </c>
      <c r="B33" s="165" t="s">
        <v>480</v>
      </c>
      <c r="C33" s="152"/>
      <c r="D33" s="152">
        <v>14218800</v>
      </c>
      <c r="E33" s="88">
        <v>14218800</v>
      </c>
    </row>
    <row r="34" spans="1:5" s="47" customFormat="1" ht="12" customHeight="1">
      <c r="A34" s="182" t="s">
        <v>177</v>
      </c>
      <c r="B34" s="165" t="s">
        <v>481</v>
      </c>
      <c r="C34" s="152">
        <v>35000000</v>
      </c>
      <c r="D34" s="152">
        <v>44694154</v>
      </c>
      <c r="E34" s="88">
        <v>44694154</v>
      </c>
    </row>
    <row r="35" spans="1:5" s="47" customFormat="1" ht="12" customHeight="1">
      <c r="A35" s="182" t="s">
        <v>483</v>
      </c>
      <c r="B35" s="165" t="s">
        <v>770</v>
      </c>
      <c r="C35" s="152">
        <v>650000</v>
      </c>
      <c r="D35" s="152">
        <v>943108</v>
      </c>
      <c r="E35" s="88">
        <v>943108</v>
      </c>
    </row>
    <row r="36" spans="1:5" s="47" customFormat="1" ht="12" customHeight="1">
      <c r="A36" s="182" t="s">
        <v>484</v>
      </c>
      <c r="B36" s="165" t="s">
        <v>773</v>
      </c>
      <c r="C36" s="152"/>
      <c r="D36" s="152">
        <v>345180</v>
      </c>
      <c r="E36" s="88">
        <v>348180</v>
      </c>
    </row>
    <row r="37" spans="1:5" s="47" customFormat="1" ht="12" customHeight="1">
      <c r="A37" s="182" t="s">
        <v>485</v>
      </c>
      <c r="B37" s="165" t="s">
        <v>771</v>
      </c>
      <c r="C37" s="152">
        <v>150000</v>
      </c>
      <c r="D37" s="152">
        <v>150000</v>
      </c>
      <c r="E37" s="88">
        <v>130000</v>
      </c>
    </row>
    <row r="38" spans="1:5" s="47" customFormat="1" ht="12" customHeight="1" thickBot="1">
      <c r="A38" s="183" t="s">
        <v>772</v>
      </c>
      <c r="B38" s="310" t="s">
        <v>774</v>
      </c>
      <c r="C38" s="154"/>
      <c r="D38" s="154">
        <v>1565323</v>
      </c>
      <c r="E38" s="90">
        <v>1565323</v>
      </c>
    </row>
    <row r="39" spans="1:5" s="47" customFormat="1" ht="12" customHeight="1" thickBot="1">
      <c r="A39" s="24" t="s">
        <v>10</v>
      </c>
      <c r="B39" s="19" t="s">
        <v>334</v>
      </c>
      <c r="C39" s="151">
        <f>SUM(C40:C50)</f>
        <v>14909117</v>
      </c>
      <c r="D39" s="234">
        <f>SUM(D40:D50)</f>
        <v>28846927</v>
      </c>
      <c r="E39" s="87">
        <f>SUM(E40:E50)</f>
        <v>30187023</v>
      </c>
    </row>
    <row r="40" spans="1:5" s="47" customFormat="1" ht="12" customHeight="1">
      <c r="A40" s="181" t="s">
        <v>56</v>
      </c>
      <c r="B40" s="164" t="s">
        <v>183</v>
      </c>
      <c r="C40" s="153"/>
      <c r="D40" s="235"/>
      <c r="E40" s="89"/>
    </row>
    <row r="41" spans="1:5" s="47" customFormat="1" ht="12" customHeight="1">
      <c r="A41" s="182" t="s">
        <v>57</v>
      </c>
      <c r="B41" s="165" t="s">
        <v>184</v>
      </c>
      <c r="C41" s="152">
        <v>7329159</v>
      </c>
      <c r="D41" s="236">
        <v>7329159</v>
      </c>
      <c r="E41" s="88">
        <v>8718980</v>
      </c>
    </row>
    <row r="42" spans="1:5" s="47" customFormat="1" ht="12" customHeight="1">
      <c r="A42" s="182" t="s">
        <v>58</v>
      </c>
      <c r="B42" s="165" t="s">
        <v>185</v>
      </c>
      <c r="C42" s="152">
        <v>341940</v>
      </c>
      <c r="D42" s="236">
        <v>456378</v>
      </c>
      <c r="E42" s="88">
        <v>456378</v>
      </c>
    </row>
    <row r="43" spans="1:5" s="47" customFormat="1" ht="12" customHeight="1">
      <c r="A43" s="182" t="s">
        <v>115</v>
      </c>
      <c r="B43" s="165" t="s">
        <v>186</v>
      </c>
      <c r="C43" s="152"/>
      <c r="D43" s="236">
        <v>1070817</v>
      </c>
      <c r="E43" s="88">
        <v>1070817</v>
      </c>
    </row>
    <row r="44" spans="1:5" s="47" customFormat="1" ht="12" customHeight="1">
      <c r="A44" s="182" t="s">
        <v>116</v>
      </c>
      <c r="B44" s="165" t="s">
        <v>187</v>
      </c>
      <c r="C44" s="152"/>
      <c r="D44" s="236"/>
      <c r="E44" s="88"/>
    </row>
    <row r="45" spans="1:5" s="47" customFormat="1" ht="12" customHeight="1">
      <c r="A45" s="182" t="s">
        <v>117</v>
      </c>
      <c r="B45" s="165" t="s">
        <v>188</v>
      </c>
      <c r="C45" s="152">
        <v>7188018</v>
      </c>
      <c r="D45" s="236">
        <v>9165049</v>
      </c>
      <c r="E45" s="88">
        <v>9165049</v>
      </c>
    </row>
    <row r="46" spans="1:5" s="47" customFormat="1" ht="12" customHeight="1">
      <c r="A46" s="182" t="s">
        <v>118</v>
      </c>
      <c r="B46" s="165" t="s">
        <v>189</v>
      </c>
      <c r="C46" s="152"/>
      <c r="D46" s="236"/>
      <c r="E46" s="88"/>
    </row>
    <row r="47" spans="1:5" s="47" customFormat="1" ht="12" customHeight="1">
      <c r="A47" s="182" t="s">
        <v>119</v>
      </c>
      <c r="B47" s="165" t="s">
        <v>486</v>
      </c>
      <c r="C47" s="152">
        <v>50000</v>
      </c>
      <c r="D47" s="236">
        <v>10722470</v>
      </c>
      <c r="E47" s="88">
        <v>10672745</v>
      </c>
    </row>
    <row r="48" spans="1:5" s="47" customFormat="1" ht="12" customHeight="1">
      <c r="A48" s="182" t="s">
        <v>181</v>
      </c>
      <c r="B48" s="165" t="s">
        <v>191</v>
      </c>
      <c r="C48" s="155"/>
      <c r="D48" s="295">
        <v>6251</v>
      </c>
      <c r="E48" s="91">
        <v>6251</v>
      </c>
    </row>
    <row r="49" spans="1:5" s="47" customFormat="1" ht="12" customHeight="1">
      <c r="A49" s="183" t="s">
        <v>182</v>
      </c>
      <c r="B49" s="166" t="s">
        <v>336</v>
      </c>
      <c r="C49" s="156"/>
      <c r="D49" s="296"/>
      <c r="E49" s="92"/>
    </row>
    <row r="50" spans="1:5" s="47" customFormat="1" ht="12" customHeight="1" thickBot="1">
      <c r="A50" s="183" t="s">
        <v>335</v>
      </c>
      <c r="B50" s="166" t="s">
        <v>192</v>
      </c>
      <c r="C50" s="156"/>
      <c r="D50" s="296">
        <v>96803</v>
      </c>
      <c r="E50" s="92">
        <v>96803</v>
      </c>
    </row>
    <row r="51" spans="1:5" s="47" customFormat="1" ht="12" customHeight="1" thickBot="1">
      <c r="A51" s="24" t="s">
        <v>11</v>
      </c>
      <c r="B51" s="19" t="s">
        <v>193</v>
      </c>
      <c r="C51" s="151">
        <f>SUM(C52:C56)</f>
        <v>0</v>
      </c>
      <c r="D51" s="234">
        <f>SUM(D52:D56)</f>
        <v>0</v>
      </c>
      <c r="E51" s="87">
        <f>SUM(E52:E56)</f>
        <v>0</v>
      </c>
    </row>
    <row r="52" spans="1:5" s="47" customFormat="1" ht="12" customHeight="1">
      <c r="A52" s="181" t="s">
        <v>59</v>
      </c>
      <c r="B52" s="164" t="s">
        <v>197</v>
      </c>
      <c r="C52" s="204"/>
      <c r="D52" s="297"/>
      <c r="E52" s="93"/>
    </row>
    <row r="53" spans="1:5" s="47" customFormat="1" ht="12" customHeight="1">
      <c r="A53" s="182" t="s">
        <v>60</v>
      </c>
      <c r="B53" s="165" t="s">
        <v>198</v>
      </c>
      <c r="C53" s="155"/>
      <c r="D53" s="295"/>
      <c r="E53" s="91">
        <v>0</v>
      </c>
    </row>
    <row r="54" spans="1:5" s="47" customFormat="1" ht="12" customHeight="1">
      <c r="A54" s="182" t="s">
        <v>194</v>
      </c>
      <c r="B54" s="165" t="s">
        <v>199</v>
      </c>
      <c r="C54" s="155"/>
      <c r="D54" s="295"/>
      <c r="E54" s="91"/>
    </row>
    <row r="55" spans="1:5" s="47" customFormat="1" ht="12" customHeight="1">
      <c r="A55" s="182" t="s">
        <v>195</v>
      </c>
      <c r="B55" s="165" t="s">
        <v>200</v>
      </c>
      <c r="C55" s="155"/>
      <c r="D55" s="295"/>
      <c r="E55" s="91"/>
    </row>
    <row r="56" spans="1:5" s="47" customFormat="1" ht="12" customHeight="1" thickBot="1">
      <c r="A56" s="183" t="s">
        <v>196</v>
      </c>
      <c r="B56" s="166" t="s">
        <v>201</v>
      </c>
      <c r="C56" s="156"/>
      <c r="D56" s="296"/>
      <c r="E56" s="92"/>
    </row>
    <row r="57" spans="1:5" s="47" customFormat="1" ht="12" customHeight="1" thickBot="1">
      <c r="A57" s="24" t="s">
        <v>120</v>
      </c>
      <c r="B57" s="19" t="s">
        <v>202</v>
      </c>
      <c r="C57" s="151">
        <f>SUM(C58:C60)</f>
        <v>0</v>
      </c>
      <c r="D57" s="234">
        <f>SUM(D58:D60)</f>
        <v>0</v>
      </c>
      <c r="E57" s="87">
        <f>SUM(E58:E60)</f>
        <v>0</v>
      </c>
    </row>
    <row r="58" spans="1:5" s="47" customFormat="1" ht="12" customHeight="1">
      <c r="A58" s="181" t="s">
        <v>61</v>
      </c>
      <c r="B58" s="164" t="s">
        <v>203</v>
      </c>
      <c r="C58" s="153"/>
      <c r="D58" s="235"/>
      <c r="E58" s="89"/>
    </row>
    <row r="59" spans="1:5" s="47" customFormat="1" ht="12" customHeight="1">
      <c r="A59" s="182" t="s">
        <v>62</v>
      </c>
      <c r="B59" s="165" t="s">
        <v>328</v>
      </c>
      <c r="C59" s="152"/>
      <c r="D59" s="236"/>
      <c r="E59" s="88"/>
    </row>
    <row r="60" spans="1:5" s="47" customFormat="1" ht="12" customHeight="1">
      <c r="A60" s="182" t="s">
        <v>206</v>
      </c>
      <c r="B60" s="165" t="s">
        <v>204</v>
      </c>
      <c r="C60" s="152"/>
      <c r="D60" s="236"/>
      <c r="E60" s="88"/>
    </row>
    <row r="61" spans="1:5" s="47" customFormat="1" ht="12" customHeight="1" thickBot="1">
      <c r="A61" s="183" t="s">
        <v>207</v>
      </c>
      <c r="B61" s="166" t="s">
        <v>205</v>
      </c>
      <c r="C61" s="154"/>
      <c r="D61" s="237"/>
      <c r="E61" s="90"/>
    </row>
    <row r="62" spans="1:5" s="47" customFormat="1" ht="12" customHeight="1" thickBot="1">
      <c r="A62" s="24" t="s">
        <v>13</v>
      </c>
      <c r="B62" s="94" t="s">
        <v>208</v>
      </c>
      <c r="C62" s="151">
        <f>SUM(C63:C65)</f>
        <v>792559</v>
      </c>
      <c r="D62" s="234">
        <f>SUM(D63:D65)</f>
        <v>16469014</v>
      </c>
      <c r="E62" s="87">
        <f>SUM(E63:E65)</f>
        <v>16278514</v>
      </c>
    </row>
    <row r="63" spans="1:5" s="47" customFormat="1" ht="12" customHeight="1">
      <c r="A63" s="181" t="s">
        <v>121</v>
      </c>
      <c r="B63" s="164" t="s">
        <v>210</v>
      </c>
      <c r="C63" s="155"/>
      <c r="D63" s="295"/>
      <c r="E63" s="91"/>
    </row>
    <row r="64" spans="1:5" s="47" customFormat="1" ht="12" customHeight="1">
      <c r="A64" s="182" t="s">
        <v>122</v>
      </c>
      <c r="B64" s="165" t="s">
        <v>329</v>
      </c>
      <c r="C64" s="155">
        <v>792559</v>
      </c>
      <c r="D64" s="295">
        <v>15969014</v>
      </c>
      <c r="E64" s="91">
        <v>15778514</v>
      </c>
    </row>
    <row r="65" spans="1:5" s="47" customFormat="1" ht="12" customHeight="1">
      <c r="A65" s="182" t="s">
        <v>141</v>
      </c>
      <c r="B65" s="165" t="s">
        <v>211</v>
      </c>
      <c r="C65" s="155"/>
      <c r="D65" s="295">
        <v>500000</v>
      </c>
      <c r="E65" s="91">
        <v>500000</v>
      </c>
    </row>
    <row r="66" spans="1:5" s="47" customFormat="1" ht="12" customHeight="1" thickBot="1">
      <c r="A66" s="183" t="s">
        <v>209</v>
      </c>
      <c r="B66" s="166" t="s">
        <v>212</v>
      </c>
      <c r="C66" s="155"/>
      <c r="D66" s="295"/>
      <c r="E66" s="91"/>
    </row>
    <row r="67" spans="1:5" s="47" customFormat="1" ht="12" customHeight="1" thickBot="1">
      <c r="A67" s="24" t="s">
        <v>14</v>
      </c>
      <c r="B67" s="19" t="s">
        <v>213</v>
      </c>
      <c r="C67" s="157">
        <f>+C8+C16+C23+C30+C39+C51+C57+C62</f>
        <v>321402963</v>
      </c>
      <c r="D67" s="238">
        <f>+D8+D16+D23+D30+D39+D51+D57+D62</f>
        <v>467172862</v>
      </c>
      <c r="E67" s="193">
        <f>+E8+E16+E23+E30+E39+E51+E57+E62</f>
        <v>467096965</v>
      </c>
    </row>
    <row r="68" spans="1:5" s="47" customFormat="1" ht="12" customHeight="1" thickBot="1">
      <c r="A68" s="184" t="s">
        <v>298</v>
      </c>
      <c r="B68" s="94" t="s">
        <v>215</v>
      </c>
      <c r="C68" s="151">
        <f>SUM(C69:C71)</f>
        <v>0</v>
      </c>
      <c r="D68" s="234">
        <f>SUM(D69:D71)</f>
        <v>0</v>
      </c>
      <c r="E68" s="87">
        <f>SUM(E69:E71)</f>
        <v>0</v>
      </c>
    </row>
    <row r="69" spans="1:5" s="47" customFormat="1" ht="12" customHeight="1">
      <c r="A69" s="181" t="s">
        <v>243</v>
      </c>
      <c r="B69" s="164" t="s">
        <v>216</v>
      </c>
      <c r="C69" s="155"/>
      <c r="D69" s="295"/>
      <c r="E69" s="91"/>
    </row>
    <row r="70" spans="1:5" s="47" customFormat="1" ht="12" customHeight="1">
      <c r="A70" s="182" t="s">
        <v>252</v>
      </c>
      <c r="B70" s="165" t="s">
        <v>217</v>
      </c>
      <c r="C70" s="155"/>
      <c r="D70" s="295"/>
      <c r="E70" s="91"/>
    </row>
    <row r="71" spans="1:5" s="47" customFormat="1" ht="12" customHeight="1" thickBot="1">
      <c r="A71" s="191" t="s">
        <v>253</v>
      </c>
      <c r="B71" s="355" t="s">
        <v>218</v>
      </c>
      <c r="C71" s="155"/>
      <c r="D71" s="298"/>
      <c r="E71" s="357"/>
    </row>
    <row r="72" spans="1:5" s="47" customFormat="1" ht="12" customHeight="1" thickBot="1">
      <c r="A72" s="184" t="s">
        <v>219</v>
      </c>
      <c r="B72" s="94" t="s">
        <v>220</v>
      </c>
      <c r="C72" s="151">
        <f>SUM(C73:C76)</f>
        <v>0</v>
      </c>
      <c r="D72" s="151">
        <f>SUM(D73:D76)</f>
        <v>0</v>
      </c>
      <c r="E72" s="87">
        <f>SUM(E73:E76)</f>
        <v>0</v>
      </c>
    </row>
    <row r="73" spans="1:5" s="47" customFormat="1" ht="12" customHeight="1">
      <c r="A73" s="181" t="s">
        <v>99</v>
      </c>
      <c r="B73" s="338" t="s">
        <v>221</v>
      </c>
      <c r="C73" s="155"/>
      <c r="D73" s="155"/>
      <c r="E73" s="91"/>
    </row>
    <row r="74" spans="1:5" s="47" customFormat="1" ht="12" customHeight="1">
      <c r="A74" s="182" t="s">
        <v>100</v>
      </c>
      <c r="B74" s="338" t="s">
        <v>493</v>
      </c>
      <c r="C74" s="155"/>
      <c r="D74" s="155"/>
      <c r="E74" s="91"/>
    </row>
    <row r="75" spans="1:5" s="47" customFormat="1" ht="12" customHeight="1">
      <c r="A75" s="182" t="s">
        <v>244</v>
      </c>
      <c r="B75" s="338" t="s">
        <v>222</v>
      </c>
      <c r="C75" s="155"/>
      <c r="D75" s="155"/>
      <c r="E75" s="91"/>
    </row>
    <row r="76" spans="1:5" s="47" customFormat="1" ht="12" customHeight="1" thickBot="1">
      <c r="A76" s="183" t="s">
        <v>245</v>
      </c>
      <c r="B76" s="339" t="s">
        <v>494</v>
      </c>
      <c r="C76" s="155"/>
      <c r="D76" s="155"/>
      <c r="E76" s="91"/>
    </row>
    <row r="77" spans="1:5" s="47" customFormat="1" ht="12" customHeight="1" thickBot="1">
      <c r="A77" s="184" t="s">
        <v>223</v>
      </c>
      <c r="B77" s="94" t="s">
        <v>224</v>
      </c>
      <c r="C77" s="151">
        <f>SUM(C78:C79)</f>
        <v>231000000</v>
      </c>
      <c r="D77" s="151">
        <f>SUM(D78:D79)</f>
        <v>312480759</v>
      </c>
      <c r="E77" s="87">
        <f>SUM(E78:E79)</f>
        <v>312480759</v>
      </c>
    </row>
    <row r="78" spans="1:5" s="47" customFormat="1" ht="12" customHeight="1">
      <c r="A78" s="181" t="s">
        <v>246</v>
      </c>
      <c r="B78" s="164" t="s">
        <v>225</v>
      </c>
      <c r="C78" s="155">
        <v>231000000</v>
      </c>
      <c r="D78" s="155">
        <v>312480759</v>
      </c>
      <c r="E78" s="91">
        <v>312480759</v>
      </c>
    </row>
    <row r="79" spans="1:5" s="47" customFormat="1" ht="12" customHeight="1" thickBot="1">
      <c r="A79" s="183" t="s">
        <v>247</v>
      </c>
      <c r="B79" s="166" t="s">
        <v>226</v>
      </c>
      <c r="C79" s="155"/>
      <c r="D79" s="155"/>
      <c r="E79" s="91"/>
    </row>
    <row r="80" spans="1:5" s="46" customFormat="1" ht="12" customHeight="1" thickBot="1">
      <c r="A80" s="184" t="s">
        <v>227</v>
      </c>
      <c r="B80" s="94" t="s">
        <v>228</v>
      </c>
      <c r="C80" s="151">
        <f>SUM(C81:C83)</f>
        <v>0</v>
      </c>
      <c r="D80" s="151">
        <f>SUM(D81:D83)</f>
        <v>4440354</v>
      </c>
      <c r="E80" s="87">
        <f>SUM(E81:E83)</f>
        <v>4440354</v>
      </c>
    </row>
    <row r="81" spans="1:5" s="47" customFormat="1" ht="12" customHeight="1">
      <c r="A81" s="181" t="s">
        <v>248</v>
      </c>
      <c r="B81" s="164" t="s">
        <v>229</v>
      </c>
      <c r="C81" s="155"/>
      <c r="D81" s="155">
        <v>4440354</v>
      </c>
      <c r="E81" s="91">
        <v>4440354</v>
      </c>
    </row>
    <row r="82" spans="1:5" s="47" customFormat="1" ht="12" customHeight="1">
      <c r="A82" s="182" t="s">
        <v>249</v>
      </c>
      <c r="B82" s="165" t="s">
        <v>230</v>
      </c>
      <c r="C82" s="155"/>
      <c r="D82" s="155"/>
      <c r="E82" s="91"/>
    </row>
    <row r="83" spans="1:5" s="47" customFormat="1" ht="12" customHeight="1" thickBot="1">
      <c r="A83" s="183" t="s">
        <v>250</v>
      </c>
      <c r="B83" s="166" t="s">
        <v>495</v>
      </c>
      <c r="C83" s="155"/>
      <c r="D83" s="155"/>
      <c r="E83" s="91"/>
    </row>
    <row r="84" spans="1:5" s="47" customFormat="1" ht="12" customHeight="1" thickBot="1">
      <c r="A84" s="184" t="s">
        <v>231</v>
      </c>
      <c r="B84" s="94" t="s">
        <v>251</v>
      </c>
      <c r="C84" s="151">
        <f>SUM(C85:C88)</f>
        <v>0</v>
      </c>
      <c r="D84" s="151">
        <f>SUM(D85:D88)</f>
        <v>0</v>
      </c>
      <c r="E84" s="87">
        <f>SUM(E85:E88)</f>
        <v>0</v>
      </c>
    </row>
    <row r="85" spans="1:5" s="47" customFormat="1" ht="12" customHeight="1">
      <c r="A85" s="185" t="s">
        <v>232</v>
      </c>
      <c r="B85" s="164" t="s">
        <v>233</v>
      </c>
      <c r="C85" s="155"/>
      <c r="D85" s="155"/>
      <c r="E85" s="91"/>
    </row>
    <row r="86" spans="1:5" s="47" customFormat="1" ht="12" customHeight="1">
      <c r="A86" s="186" t="s">
        <v>234</v>
      </c>
      <c r="B86" s="165" t="s">
        <v>235</v>
      </c>
      <c r="C86" s="155"/>
      <c r="D86" s="155"/>
      <c r="E86" s="91"/>
    </row>
    <row r="87" spans="1:5" s="47" customFormat="1" ht="12" customHeight="1">
      <c r="A87" s="186" t="s">
        <v>236</v>
      </c>
      <c r="B87" s="165" t="s">
        <v>237</v>
      </c>
      <c r="C87" s="155"/>
      <c r="D87" s="155"/>
      <c r="E87" s="91"/>
    </row>
    <row r="88" spans="1:5" s="46" customFormat="1" ht="12" customHeight="1" thickBot="1">
      <c r="A88" s="187" t="s">
        <v>238</v>
      </c>
      <c r="B88" s="166" t="s">
        <v>239</v>
      </c>
      <c r="C88" s="155"/>
      <c r="D88" s="155"/>
      <c r="E88" s="91"/>
    </row>
    <row r="89" spans="1:5" s="46" customFormat="1" ht="12" customHeight="1" thickBot="1">
      <c r="A89" s="184" t="s">
        <v>240</v>
      </c>
      <c r="B89" s="94" t="s">
        <v>375</v>
      </c>
      <c r="C89" s="207"/>
      <c r="D89" s="207"/>
      <c r="E89" s="208"/>
    </row>
    <row r="90" spans="1:5" s="46" customFormat="1" ht="12" customHeight="1" thickBot="1">
      <c r="A90" s="184" t="s">
        <v>393</v>
      </c>
      <c r="B90" s="94" t="s">
        <v>241</v>
      </c>
      <c r="C90" s="207"/>
      <c r="D90" s="207"/>
      <c r="E90" s="208"/>
    </row>
    <row r="91" spans="1:5" s="46" customFormat="1" ht="12" customHeight="1" thickBot="1">
      <c r="A91" s="184" t="s">
        <v>394</v>
      </c>
      <c r="B91" s="171" t="s">
        <v>378</v>
      </c>
      <c r="C91" s="157">
        <f>+C68+C72+C77+C80+C84+C90+C89</f>
        <v>231000000</v>
      </c>
      <c r="D91" s="157">
        <f>+D68+D72+D77+D80+D84+D90+D89</f>
        <v>316921113</v>
      </c>
      <c r="E91" s="193">
        <f>+E68+E72+E77+E80+E84+E90+E89</f>
        <v>316921113</v>
      </c>
    </row>
    <row r="92" spans="1:5" s="46" customFormat="1" ht="12" customHeight="1" thickBot="1">
      <c r="A92" s="188" t="s">
        <v>395</v>
      </c>
      <c r="B92" s="172" t="s">
        <v>396</v>
      </c>
      <c r="C92" s="157">
        <f>+C67+C91</f>
        <v>552402963</v>
      </c>
      <c r="D92" s="157">
        <f>+D67+D91</f>
        <v>784093975</v>
      </c>
      <c r="E92" s="193">
        <f>+E67+E91</f>
        <v>784018078</v>
      </c>
    </row>
    <row r="93" spans="1:3" s="47" customFormat="1" ht="15" customHeight="1" thickBot="1">
      <c r="A93" s="77"/>
      <c r="B93" s="78"/>
      <c r="C93" s="133"/>
    </row>
    <row r="94" spans="1:5" s="40" customFormat="1" ht="16.5" customHeight="1" thickBot="1">
      <c r="A94" s="891" t="s">
        <v>41</v>
      </c>
      <c r="B94" s="892"/>
      <c r="C94" s="892"/>
      <c r="D94" s="892"/>
      <c r="E94" s="893"/>
    </row>
    <row r="95" spans="1:5" s="48" customFormat="1" ht="12" customHeight="1" thickBot="1">
      <c r="A95" s="158" t="s">
        <v>6</v>
      </c>
      <c r="B95" s="23" t="s">
        <v>400</v>
      </c>
      <c r="C95" s="150">
        <f>+C96+C97+C98+C99+C100+C113</f>
        <v>143925433</v>
      </c>
      <c r="D95" s="150">
        <f>+D96+D97+D98+D99+D100+D113</f>
        <v>307486065</v>
      </c>
      <c r="E95" s="217">
        <f>+E96+E97+E98+E99+E100+E113</f>
        <v>136980889</v>
      </c>
    </row>
    <row r="96" spans="1:5" ht="12" customHeight="1">
      <c r="A96" s="189" t="s">
        <v>63</v>
      </c>
      <c r="B96" s="8" t="s">
        <v>35</v>
      </c>
      <c r="C96" s="224">
        <v>16741320</v>
      </c>
      <c r="D96" s="724">
        <v>24518960</v>
      </c>
      <c r="E96" s="218">
        <v>15297143</v>
      </c>
    </row>
    <row r="97" spans="1:5" ht="12" customHeight="1">
      <c r="A97" s="182" t="s">
        <v>64</v>
      </c>
      <c r="B97" s="6" t="s">
        <v>123</v>
      </c>
      <c r="C97" s="152">
        <v>2810278</v>
      </c>
      <c r="D97" s="236">
        <v>2852096</v>
      </c>
      <c r="E97" s="88">
        <v>2260179</v>
      </c>
    </row>
    <row r="98" spans="1:5" ht="12" customHeight="1">
      <c r="A98" s="182" t="s">
        <v>65</v>
      </c>
      <c r="B98" s="6" t="s">
        <v>91</v>
      </c>
      <c r="C98" s="154">
        <v>46725483</v>
      </c>
      <c r="D98" s="236">
        <v>64644619</v>
      </c>
      <c r="E98" s="90">
        <v>51137272</v>
      </c>
    </row>
    <row r="99" spans="1:5" ht="12" customHeight="1">
      <c r="A99" s="182" t="s">
        <v>66</v>
      </c>
      <c r="B99" s="9" t="s">
        <v>124</v>
      </c>
      <c r="C99" s="154">
        <v>5840000</v>
      </c>
      <c r="D99" s="237">
        <v>5840000</v>
      </c>
      <c r="E99" s="90">
        <v>3623347</v>
      </c>
    </row>
    <row r="100" spans="1:5" ht="12" customHeight="1">
      <c r="A100" s="182" t="s">
        <v>75</v>
      </c>
      <c r="B100" s="17" t="s">
        <v>125</v>
      </c>
      <c r="C100" s="154">
        <v>51729352</v>
      </c>
      <c r="D100" s="237">
        <v>65017583</v>
      </c>
      <c r="E100" s="90">
        <v>64662948</v>
      </c>
    </row>
    <row r="101" spans="1:5" ht="12" customHeight="1">
      <c r="A101" s="182" t="s">
        <v>67</v>
      </c>
      <c r="B101" s="6" t="s">
        <v>397</v>
      </c>
      <c r="C101" s="154"/>
      <c r="D101" s="237"/>
      <c r="E101" s="90"/>
    </row>
    <row r="102" spans="1:5" ht="12" customHeight="1">
      <c r="A102" s="182" t="s">
        <v>68</v>
      </c>
      <c r="B102" s="57" t="s">
        <v>341</v>
      </c>
      <c r="C102" s="154"/>
      <c r="D102" s="237"/>
      <c r="E102" s="90"/>
    </row>
    <row r="103" spans="1:5" ht="12" customHeight="1">
      <c r="A103" s="182" t="s">
        <v>76</v>
      </c>
      <c r="B103" s="57" t="s">
        <v>340</v>
      </c>
      <c r="C103" s="154">
        <v>5706888</v>
      </c>
      <c r="D103" s="237">
        <v>5892108</v>
      </c>
      <c r="E103" s="90">
        <v>5892108</v>
      </c>
    </row>
    <row r="104" spans="1:5" ht="12" customHeight="1">
      <c r="A104" s="182" t="s">
        <v>77</v>
      </c>
      <c r="B104" s="57" t="s">
        <v>257</v>
      </c>
      <c r="C104" s="154"/>
      <c r="D104" s="237"/>
      <c r="E104" s="90"/>
    </row>
    <row r="105" spans="1:5" ht="12" customHeight="1">
      <c r="A105" s="182" t="s">
        <v>78</v>
      </c>
      <c r="B105" s="58" t="s">
        <v>258</v>
      </c>
      <c r="C105" s="154"/>
      <c r="D105" s="237"/>
      <c r="E105" s="90"/>
    </row>
    <row r="106" spans="1:5" ht="12" customHeight="1">
      <c r="A106" s="182" t="s">
        <v>79</v>
      </c>
      <c r="B106" s="58" t="s">
        <v>259</v>
      </c>
      <c r="C106" s="154"/>
      <c r="D106" s="237"/>
      <c r="E106" s="90"/>
    </row>
    <row r="107" spans="1:5" ht="12" customHeight="1">
      <c r="A107" s="182" t="s">
        <v>81</v>
      </c>
      <c r="B107" s="57" t="s">
        <v>260</v>
      </c>
      <c r="C107" s="154">
        <v>45252464</v>
      </c>
      <c r="D107" s="237">
        <v>45605175</v>
      </c>
      <c r="E107" s="90">
        <v>45500540</v>
      </c>
    </row>
    <row r="108" spans="1:5" ht="12" customHeight="1">
      <c r="A108" s="182" t="s">
        <v>126</v>
      </c>
      <c r="B108" s="57" t="s">
        <v>261</v>
      </c>
      <c r="C108" s="154"/>
      <c r="D108" s="237"/>
      <c r="E108" s="90"/>
    </row>
    <row r="109" spans="1:5" ht="12" customHeight="1">
      <c r="A109" s="182" t="s">
        <v>255</v>
      </c>
      <c r="B109" s="58" t="s">
        <v>262</v>
      </c>
      <c r="C109" s="154"/>
      <c r="D109" s="237"/>
      <c r="E109" s="90"/>
    </row>
    <row r="110" spans="1:5" ht="12" customHeight="1">
      <c r="A110" s="190" t="s">
        <v>256</v>
      </c>
      <c r="B110" s="59" t="s">
        <v>263</v>
      </c>
      <c r="C110" s="154"/>
      <c r="D110" s="237"/>
      <c r="E110" s="90"/>
    </row>
    <row r="111" spans="1:5" ht="12" customHeight="1">
      <c r="A111" s="182" t="s">
        <v>338</v>
      </c>
      <c r="B111" s="59" t="s">
        <v>264</v>
      </c>
      <c r="C111" s="154"/>
      <c r="D111" s="237"/>
      <c r="E111" s="90"/>
    </row>
    <row r="112" spans="1:5" ht="12" customHeight="1">
      <c r="A112" s="182" t="s">
        <v>339</v>
      </c>
      <c r="B112" s="58" t="s">
        <v>265</v>
      </c>
      <c r="C112" s="152">
        <v>770000</v>
      </c>
      <c r="D112" s="236">
        <v>13520300</v>
      </c>
      <c r="E112" s="88">
        <v>14400101</v>
      </c>
    </row>
    <row r="113" spans="1:5" ht="12" customHeight="1">
      <c r="A113" s="182" t="s">
        <v>343</v>
      </c>
      <c r="B113" s="9" t="s">
        <v>36</v>
      </c>
      <c r="C113" s="152">
        <v>20079000</v>
      </c>
      <c r="D113" s="236">
        <v>144612807</v>
      </c>
      <c r="E113" s="88"/>
    </row>
    <row r="114" spans="1:5" ht="12" customHeight="1">
      <c r="A114" s="183" t="s">
        <v>344</v>
      </c>
      <c r="B114" s="6" t="s">
        <v>398</v>
      </c>
      <c r="C114" s="154">
        <v>12665713</v>
      </c>
      <c r="D114" s="237">
        <v>137199520</v>
      </c>
      <c r="E114" s="90"/>
    </row>
    <row r="115" spans="1:5" ht="12" customHeight="1" thickBot="1">
      <c r="A115" s="191" t="s">
        <v>345</v>
      </c>
      <c r="B115" s="60" t="s">
        <v>399</v>
      </c>
      <c r="C115" s="225">
        <v>7413287</v>
      </c>
      <c r="D115" s="301">
        <v>7413287</v>
      </c>
      <c r="E115" s="219"/>
    </row>
    <row r="116" spans="1:5" ht="12" customHeight="1" thickBot="1">
      <c r="A116" s="24" t="s">
        <v>7</v>
      </c>
      <c r="B116" s="22" t="s">
        <v>266</v>
      </c>
      <c r="C116" s="151">
        <f>+C117+C119+C121</f>
        <v>87013929</v>
      </c>
      <c r="D116" s="234">
        <f>+D117+D119+D121</f>
        <v>158666235</v>
      </c>
      <c r="E116" s="87">
        <f>+E117+E119+E121</f>
        <v>124177393</v>
      </c>
    </row>
    <row r="117" spans="1:5" ht="12" customHeight="1">
      <c r="A117" s="181" t="s">
        <v>69</v>
      </c>
      <c r="B117" s="6" t="s">
        <v>140</v>
      </c>
      <c r="C117" s="153">
        <v>87013929</v>
      </c>
      <c r="D117" s="235">
        <v>105842472</v>
      </c>
      <c r="E117" s="89">
        <v>86343305</v>
      </c>
    </row>
    <row r="118" spans="1:5" ht="12" customHeight="1">
      <c r="A118" s="181" t="s">
        <v>70</v>
      </c>
      <c r="B118" s="10" t="s">
        <v>270</v>
      </c>
      <c r="C118" s="153">
        <v>23112825</v>
      </c>
      <c r="D118" s="235">
        <v>23112825</v>
      </c>
      <c r="E118" s="89">
        <v>22950066</v>
      </c>
    </row>
    <row r="119" spans="1:5" ht="12" customHeight="1">
      <c r="A119" s="181" t="s">
        <v>71</v>
      </c>
      <c r="B119" s="10" t="s">
        <v>127</v>
      </c>
      <c r="C119" s="152"/>
      <c r="D119" s="236">
        <v>52823763</v>
      </c>
      <c r="E119" s="88">
        <v>37834088</v>
      </c>
    </row>
    <row r="120" spans="1:5" ht="12" customHeight="1">
      <c r="A120" s="181" t="s">
        <v>72</v>
      </c>
      <c r="B120" s="10" t="s">
        <v>271</v>
      </c>
      <c r="C120" s="152"/>
      <c r="D120" s="236"/>
      <c r="E120" s="88"/>
    </row>
    <row r="121" spans="1:5" ht="12" customHeight="1">
      <c r="A121" s="181" t="s">
        <v>73</v>
      </c>
      <c r="B121" s="96" t="s">
        <v>142</v>
      </c>
      <c r="C121" s="152"/>
      <c r="D121" s="236"/>
      <c r="E121" s="88">
        <v>0</v>
      </c>
    </row>
    <row r="122" spans="1:5" ht="12" customHeight="1">
      <c r="A122" s="181" t="s">
        <v>80</v>
      </c>
      <c r="B122" s="95" t="s">
        <v>330</v>
      </c>
      <c r="C122" s="152"/>
      <c r="D122" s="236"/>
      <c r="E122" s="88"/>
    </row>
    <row r="123" spans="1:5" ht="12" customHeight="1">
      <c r="A123" s="181" t="s">
        <v>82</v>
      </c>
      <c r="B123" s="160" t="s">
        <v>276</v>
      </c>
      <c r="C123" s="152"/>
      <c r="D123" s="236"/>
      <c r="E123" s="88"/>
    </row>
    <row r="124" spans="1:5" ht="12" customHeight="1">
      <c r="A124" s="181" t="s">
        <v>128</v>
      </c>
      <c r="B124" s="58" t="s">
        <v>259</v>
      </c>
      <c r="C124" s="152"/>
      <c r="D124" s="236"/>
      <c r="E124" s="88"/>
    </row>
    <row r="125" spans="1:5" ht="12" customHeight="1">
      <c r="A125" s="181" t="s">
        <v>129</v>
      </c>
      <c r="B125" s="58" t="s">
        <v>275</v>
      </c>
      <c r="C125" s="152"/>
      <c r="D125" s="236"/>
      <c r="E125" s="88"/>
    </row>
    <row r="126" spans="1:5" ht="12" customHeight="1">
      <c r="A126" s="181" t="s">
        <v>130</v>
      </c>
      <c r="B126" s="58" t="s">
        <v>274</v>
      </c>
      <c r="C126" s="152"/>
      <c r="D126" s="236"/>
      <c r="E126" s="88"/>
    </row>
    <row r="127" spans="1:5" ht="12" customHeight="1">
      <c r="A127" s="181" t="s">
        <v>267</v>
      </c>
      <c r="B127" s="58" t="s">
        <v>262</v>
      </c>
      <c r="C127" s="152"/>
      <c r="D127" s="236"/>
      <c r="E127" s="88"/>
    </row>
    <row r="128" spans="1:5" ht="12" customHeight="1">
      <c r="A128" s="181" t="s">
        <v>268</v>
      </c>
      <c r="B128" s="58" t="s">
        <v>273</v>
      </c>
      <c r="C128" s="152"/>
      <c r="D128" s="236"/>
      <c r="E128" s="88"/>
    </row>
    <row r="129" spans="1:5" ht="12" customHeight="1" thickBot="1">
      <c r="A129" s="190" t="s">
        <v>269</v>
      </c>
      <c r="B129" s="58" t="s">
        <v>272</v>
      </c>
      <c r="C129" s="154"/>
      <c r="D129" s="237"/>
      <c r="E129" s="90"/>
    </row>
    <row r="130" spans="1:5" ht="12" customHeight="1" thickBot="1">
      <c r="A130" s="24" t="s">
        <v>8</v>
      </c>
      <c r="B130" s="51" t="s">
        <v>348</v>
      </c>
      <c r="C130" s="151">
        <f>+C95+C116</f>
        <v>230939362</v>
      </c>
      <c r="D130" s="234">
        <f>+D95+D116</f>
        <v>466152300</v>
      </c>
      <c r="E130" s="87">
        <f>+E95+E116</f>
        <v>261158282</v>
      </c>
    </row>
    <row r="131" spans="1:5" ht="12" customHeight="1" thickBot="1">
      <c r="A131" s="24" t="s">
        <v>9</v>
      </c>
      <c r="B131" s="51" t="s">
        <v>349</v>
      </c>
      <c r="C131" s="151">
        <f>+C132+C133+C134</f>
        <v>0</v>
      </c>
      <c r="D131" s="234">
        <f>+D132+D133+D134</f>
        <v>0</v>
      </c>
      <c r="E131" s="87">
        <f>+E132+E133+E134</f>
        <v>0</v>
      </c>
    </row>
    <row r="132" spans="1:5" s="48" customFormat="1" ht="12" customHeight="1">
      <c r="A132" s="181" t="s">
        <v>174</v>
      </c>
      <c r="B132" s="7" t="s">
        <v>403</v>
      </c>
      <c r="C132" s="152"/>
      <c r="D132" s="236"/>
      <c r="E132" s="88"/>
    </row>
    <row r="133" spans="1:5" ht="12" customHeight="1">
      <c r="A133" s="181" t="s">
        <v>175</v>
      </c>
      <c r="B133" s="7" t="s">
        <v>357</v>
      </c>
      <c r="C133" s="152"/>
      <c r="D133" s="236"/>
      <c r="E133" s="88"/>
    </row>
    <row r="134" spans="1:5" ht="12" customHeight="1" thickBot="1">
      <c r="A134" s="190" t="s">
        <v>176</v>
      </c>
      <c r="B134" s="5" t="s">
        <v>402</v>
      </c>
      <c r="C134" s="152"/>
      <c r="D134" s="236"/>
      <c r="E134" s="88"/>
    </row>
    <row r="135" spans="1:5" ht="12" customHeight="1" thickBot="1">
      <c r="A135" s="24" t="s">
        <v>10</v>
      </c>
      <c r="B135" s="51" t="s">
        <v>350</v>
      </c>
      <c r="C135" s="151">
        <f>+C136+C137+C138+C139+C140+C141</f>
        <v>0</v>
      </c>
      <c r="D135" s="234">
        <f>+D136+D137+D138+D139+D140+D141</f>
        <v>0</v>
      </c>
      <c r="E135" s="87">
        <f>+E136+E137+E138+E139+E140+E141</f>
        <v>0</v>
      </c>
    </row>
    <row r="136" spans="1:5" ht="12" customHeight="1">
      <c r="A136" s="181" t="s">
        <v>56</v>
      </c>
      <c r="B136" s="7" t="s">
        <v>359</v>
      </c>
      <c r="C136" s="152"/>
      <c r="D136" s="236"/>
      <c r="E136" s="88"/>
    </row>
    <row r="137" spans="1:5" ht="12" customHeight="1">
      <c r="A137" s="181" t="s">
        <v>57</v>
      </c>
      <c r="B137" s="7" t="s">
        <v>351</v>
      </c>
      <c r="C137" s="152"/>
      <c r="D137" s="236"/>
      <c r="E137" s="88"/>
    </row>
    <row r="138" spans="1:5" ht="12" customHeight="1">
      <c r="A138" s="181" t="s">
        <v>58</v>
      </c>
      <c r="B138" s="7" t="s">
        <v>352</v>
      </c>
      <c r="C138" s="152"/>
      <c r="D138" s="236"/>
      <c r="E138" s="88"/>
    </row>
    <row r="139" spans="1:5" ht="12" customHeight="1">
      <c r="A139" s="181" t="s">
        <v>115</v>
      </c>
      <c r="B139" s="7" t="s">
        <v>401</v>
      </c>
      <c r="C139" s="152"/>
      <c r="D139" s="236"/>
      <c r="E139" s="88"/>
    </row>
    <row r="140" spans="1:5" ht="12" customHeight="1">
      <c r="A140" s="181" t="s">
        <v>116</v>
      </c>
      <c r="B140" s="7" t="s">
        <v>354</v>
      </c>
      <c r="C140" s="152"/>
      <c r="D140" s="236"/>
      <c r="E140" s="88"/>
    </row>
    <row r="141" spans="1:5" s="48" customFormat="1" ht="12" customHeight="1" thickBot="1">
      <c r="A141" s="190" t="s">
        <v>117</v>
      </c>
      <c r="B141" s="5" t="s">
        <v>355</v>
      </c>
      <c r="C141" s="152"/>
      <c r="D141" s="236"/>
      <c r="E141" s="88"/>
    </row>
    <row r="142" spans="1:5" ht="12" customHeight="1" thickBot="1">
      <c r="A142" s="24" t="s">
        <v>11</v>
      </c>
      <c r="B142" s="51" t="s">
        <v>416</v>
      </c>
      <c r="C142" s="157">
        <f>+C143+C144+C146+C147+C145</f>
        <v>321463601</v>
      </c>
      <c r="D142" s="238">
        <f>+D143+D144+D146+D147+D145</f>
        <v>324403410</v>
      </c>
      <c r="E142" s="193">
        <f>+E143+E144+E146+E147+E145</f>
        <v>272419630</v>
      </c>
    </row>
    <row r="143" spans="1:5" ht="12.75">
      <c r="A143" s="181" t="s">
        <v>59</v>
      </c>
      <c r="B143" s="7" t="s">
        <v>277</v>
      </c>
      <c r="C143" s="152"/>
      <c r="D143" s="236"/>
      <c r="E143" s="88"/>
    </row>
    <row r="144" spans="1:5" ht="12" customHeight="1">
      <c r="A144" s="181" t="s">
        <v>60</v>
      </c>
      <c r="B144" s="7" t="s">
        <v>278</v>
      </c>
      <c r="C144" s="236">
        <v>4376944</v>
      </c>
      <c r="D144" s="236">
        <v>4376944</v>
      </c>
      <c r="E144" s="88">
        <v>4376944</v>
      </c>
    </row>
    <row r="145" spans="1:5" ht="12" customHeight="1">
      <c r="A145" s="181" t="s">
        <v>194</v>
      </c>
      <c r="B145" s="7" t="s">
        <v>415</v>
      </c>
      <c r="C145" s="236">
        <v>317086657</v>
      </c>
      <c r="D145" s="236">
        <v>320026466</v>
      </c>
      <c r="E145" s="88">
        <v>268042686</v>
      </c>
    </row>
    <row r="146" spans="1:5" s="48" customFormat="1" ht="12" customHeight="1">
      <c r="A146" s="181" t="s">
        <v>195</v>
      </c>
      <c r="B146" s="7" t="s">
        <v>364</v>
      </c>
      <c r="C146" s="236"/>
      <c r="D146" s="236"/>
      <c r="E146" s="88"/>
    </row>
    <row r="147" spans="1:5" s="48" customFormat="1" ht="12" customHeight="1" thickBot="1">
      <c r="A147" s="190" t="s">
        <v>196</v>
      </c>
      <c r="B147" s="5" t="s">
        <v>294</v>
      </c>
      <c r="C147" s="152"/>
      <c r="D147" s="236"/>
      <c r="E147" s="88"/>
    </row>
    <row r="148" spans="1:5" s="48" customFormat="1" ht="12" customHeight="1" thickBot="1">
      <c r="A148" s="24" t="s">
        <v>12</v>
      </c>
      <c r="B148" s="51" t="s">
        <v>365</v>
      </c>
      <c r="C148" s="227">
        <f>+C149+C150+C151+C152+C153</f>
        <v>0</v>
      </c>
      <c r="D148" s="239">
        <f>+D149+D150+D151+D152+D153</f>
        <v>0</v>
      </c>
      <c r="E148" s="221">
        <f>+E149+E150+E151+E152+E153</f>
        <v>0</v>
      </c>
    </row>
    <row r="149" spans="1:5" s="48" customFormat="1" ht="12" customHeight="1">
      <c r="A149" s="181" t="s">
        <v>61</v>
      </c>
      <c r="B149" s="7" t="s">
        <v>360</v>
      </c>
      <c r="C149" s="152"/>
      <c r="D149" s="236"/>
      <c r="E149" s="88"/>
    </row>
    <row r="150" spans="1:5" s="48" customFormat="1" ht="12" customHeight="1">
      <c r="A150" s="181" t="s">
        <v>62</v>
      </c>
      <c r="B150" s="7" t="s">
        <v>367</v>
      </c>
      <c r="C150" s="152"/>
      <c r="D150" s="236"/>
      <c r="E150" s="88"/>
    </row>
    <row r="151" spans="1:5" s="48" customFormat="1" ht="12" customHeight="1">
      <c r="A151" s="181" t="s">
        <v>206</v>
      </c>
      <c r="B151" s="7" t="s">
        <v>362</v>
      </c>
      <c r="C151" s="152"/>
      <c r="D151" s="236"/>
      <c r="E151" s="88"/>
    </row>
    <row r="152" spans="1:5" s="48" customFormat="1" ht="12" customHeight="1">
      <c r="A152" s="181" t="s">
        <v>207</v>
      </c>
      <c r="B152" s="7" t="s">
        <v>404</v>
      </c>
      <c r="C152" s="152"/>
      <c r="D152" s="236"/>
      <c r="E152" s="88"/>
    </row>
    <row r="153" spans="1:5" ht="12.75" customHeight="1" thickBot="1">
      <c r="A153" s="190" t="s">
        <v>366</v>
      </c>
      <c r="B153" s="5" t="s">
        <v>369</v>
      </c>
      <c r="C153" s="154"/>
      <c r="D153" s="237"/>
      <c r="E153" s="90"/>
    </row>
    <row r="154" spans="1:5" ht="12.75" customHeight="1" thickBot="1">
      <c r="A154" s="216" t="s">
        <v>13</v>
      </c>
      <c r="B154" s="51" t="s">
        <v>370</v>
      </c>
      <c r="C154" s="228"/>
      <c r="D154" s="239"/>
      <c r="E154" s="221"/>
    </row>
    <row r="155" spans="1:5" ht="12.75" customHeight="1" thickBot="1">
      <c r="A155" s="216" t="s">
        <v>14</v>
      </c>
      <c r="B155" s="51" t="s">
        <v>371</v>
      </c>
      <c r="C155" s="228"/>
      <c r="D155" s="239"/>
      <c r="E155" s="221"/>
    </row>
    <row r="156" spans="1:5" ht="12" customHeight="1" thickBot="1">
      <c r="A156" s="24" t="s">
        <v>15</v>
      </c>
      <c r="B156" s="51" t="s">
        <v>373</v>
      </c>
      <c r="C156" s="229">
        <f>+C131+C135+C142+C148+C154+C155</f>
        <v>321463601</v>
      </c>
      <c r="D156" s="241">
        <f>+D131+D135+D142+D148+D154+D155</f>
        <v>324403410</v>
      </c>
      <c r="E156" s="223">
        <f>+E131+E135+E142+E148+E154+E155</f>
        <v>272419630</v>
      </c>
    </row>
    <row r="157" spans="1:5" ht="15" customHeight="1" thickBot="1">
      <c r="A157" s="192" t="s">
        <v>16</v>
      </c>
      <c r="B157" s="138" t="s">
        <v>372</v>
      </c>
      <c r="C157" s="229">
        <f>+C130+C156</f>
        <v>552402963</v>
      </c>
      <c r="D157" s="241">
        <f>+D130+D156</f>
        <v>790555710</v>
      </c>
      <c r="E157" s="223">
        <f>+E130+E156</f>
        <v>533577912</v>
      </c>
    </row>
    <row r="158" spans="1:5" ht="13.5" thickBot="1">
      <c r="A158" s="141"/>
      <c r="B158" s="142"/>
      <c r="C158" s="546">
        <f>C92-C157</f>
        <v>0</v>
      </c>
      <c r="D158" s="546">
        <f>D92-D157</f>
        <v>-6461735</v>
      </c>
      <c r="E158" s="546"/>
    </row>
    <row r="159" spans="1:5" ht="15" customHeight="1" thickBot="1">
      <c r="A159" s="311" t="s">
        <v>488</v>
      </c>
      <c r="B159" s="312"/>
      <c r="C159" s="300">
        <v>1</v>
      </c>
      <c r="D159" s="725">
        <v>1</v>
      </c>
      <c r="E159" s="299">
        <v>1</v>
      </c>
    </row>
    <row r="160" spans="1:5" ht="14.25" customHeight="1" thickBot="1">
      <c r="A160" s="313" t="s">
        <v>489</v>
      </c>
      <c r="B160" s="314"/>
      <c r="C160" s="300">
        <v>0</v>
      </c>
      <c r="D160" s="725">
        <v>0</v>
      </c>
      <c r="E160" s="299">
        <v>0</v>
      </c>
    </row>
  </sheetData>
  <sheetProtection formatCells="0"/>
  <mergeCells count="5">
    <mergeCell ref="B2:D2"/>
    <mergeCell ref="B3:D3"/>
    <mergeCell ref="A7:E7"/>
    <mergeCell ref="A94:E9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  <rowBreaks count="1" manualBreakCount="1">
    <brk id="9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160"/>
  <sheetViews>
    <sheetView view="pageBreakPreview" zoomScaleNormal="120" zoomScaleSheetLayoutView="100" workbookViewId="0" topLeftCell="A1">
      <selection activeCell="H162" sqref="H162"/>
    </sheetView>
  </sheetViews>
  <sheetFormatPr defaultColWidth="9.00390625" defaultRowHeight="12.75"/>
  <cols>
    <col min="1" max="1" width="16.125" style="144" customWidth="1"/>
    <col min="2" max="2" width="62.00390625" style="145" customWidth="1"/>
    <col min="3" max="3" width="14.125" style="146" customWidth="1"/>
    <col min="4" max="5" width="14.125" style="2" customWidth="1"/>
    <col min="6" max="6" width="9.375" style="2" customWidth="1"/>
    <col min="7" max="7" width="13.875" style="2" customWidth="1"/>
    <col min="8" max="16384" width="9.375" style="2" customWidth="1"/>
  </cols>
  <sheetData>
    <row r="1" spans="1:5" s="1" customFormat="1" ht="16.5" customHeight="1" thickBot="1">
      <c r="A1" s="358"/>
      <c r="B1" s="370"/>
      <c r="C1" s="371"/>
      <c r="D1" s="371"/>
      <c r="E1" s="548" t="str">
        <f>CONCATENATE("12. melléklet ",Z_ALAPADATOK!A7," ",Z_ALAPADATOK!B7," ",Z_ALAPADATOK!C7," ",Z_ALAPADATOK!D7," ",Z_ALAPADATOK!E7," ",Z_ALAPADATOK!F7," ",Z_ALAPADATOK!G7," ",Z_ALAPADATOK!H7)</f>
        <v>12. melléklet a 3 / 2022. ( V. 26. ) önkormányzati rendelethez</v>
      </c>
    </row>
    <row r="2" spans="1:5" s="44" customFormat="1" ht="21" customHeight="1" thickBot="1">
      <c r="A2" s="367" t="s">
        <v>45</v>
      </c>
      <c r="B2" s="894" t="str">
        <f>CONCATENATE(Z_ALAPADATOK!A3)</f>
        <v>Balatonvilágos Község Önkormányzata</v>
      </c>
      <c r="C2" s="894"/>
      <c r="D2" s="894"/>
      <c r="E2" s="368" t="s">
        <v>39</v>
      </c>
    </row>
    <row r="3" spans="1:5" s="44" customFormat="1" ht="24.75" thickBot="1">
      <c r="A3" s="367" t="s">
        <v>136</v>
      </c>
      <c r="B3" s="894" t="s">
        <v>322</v>
      </c>
      <c r="C3" s="894"/>
      <c r="D3" s="894"/>
      <c r="E3" s="369" t="s">
        <v>43</v>
      </c>
    </row>
    <row r="4" spans="1:5" s="45" customFormat="1" ht="15.75" customHeight="1" thickBot="1">
      <c r="A4" s="361"/>
      <c r="B4" s="361"/>
      <c r="C4" s="362"/>
      <c r="D4" s="363"/>
      <c r="E4" s="362" t="str">
        <f>'11'!E4</f>
        <v> Forintban!</v>
      </c>
    </row>
    <row r="5" spans="1:5" ht="24.75" thickBot="1">
      <c r="A5" s="364" t="s">
        <v>137</v>
      </c>
      <c r="B5" s="365" t="s">
        <v>487</v>
      </c>
      <c r="C5" s="365" t="s">
        <v>453</v>
      </c>
      <c r="D5" s="366" t="s">
        <v>454</v>
      </c>
      <c r="E5" s="347" t="str">
        <f>CONCATENATE('11'!E5)</f>
        <v>Teljesítés
2021. XII. 31.</v>
      </c>
    </row>
    <row r="6" spans="1:5" s="40" customFormat="1" ht="12.75" customHeight="1" thickBot="1">
      <c r="A6" s="66" t="s">
        <v>384</v>
      </c>
      <c r="B6" s="67" t="s">
        <v>385</v>
      </c>
      <c r="C6" s="67" t="s">
        <v>386</v>
      </c>
      <c r="D6" s="294" t="s">
        <v>388</v>
      </c>
      <c r="E6" s="68" t="s">
        <v>387</v>
      </c>
    </row>
    <row r="7" spans="1:5" s="40" customFormat="1" ht="15.75" customHeight="1" thickBot="1">
      <c r="A7" s="891" t="s">
        <v>40</v>
      </c>
      <c r="B7" s="892"/>
      <c r="C7" s="892"/>
      <c r="D7" s="892"/>
      <c r="E7" s="893"/>
    </row>
    <row r="8" spans="1:7" s="40" customFormat="1" ht="12" customHeight="1" thickBot="1">
      <c r="A8" s="24" t="s">
        <v>6</v>
      </c>
      <c r="B8" s="19" t="s">
        <v>159</v>
      </c>
      <c r="C8" s="151">
        <f>+C9+C10+C11+C12+C13+C15</f>
        <v>0</v>
      </c>
      <c r="D8" s="234">
        <f>+D9+D10+D11+D12+D13+D15</f>
        <v>0</v>
      </c>
      <c r="E8" s="87">
        <f>+E9+E10+E11+E12+E13+E15</f>
        <v>0</v>
      </c>
      <c r="G8" s="718"/>
    </row>
    <row r="9" spans="1:7" s="46" customFormat="1" ht="12" customHeight="1">
      <c r="A9" s="181" t="s">
        <v>63</v>
      </c>
      <c r="B9" s="164" t="s">
        <v>160</v>
      </c>
      <c r="C9" s="153"/>
      <c r="D9" s="235"/>
      <c r="E9" s="89"/>
      <c r="G9" s="719"/>
    </row>
    <row r="10" spans="1:7" s="47" customFormat="1" ht="12" customHeight="1">
      <c r="A10" s="182" t="s">
        <v>64</v>
      </c>
      <c r="B10" s="165" t="s">
        <v>161</v>
      </c>
      <c r="C10" s="152"/>
      <c r="D10" s="236"/>
      <c r="E10" s="88"/>
      <c r="G10" s="719"/>
    </row>
    <row r="11" spans="1:7" s="47" customFormat="1" ht="12" customHeight="1">
      <c r="A11" s="182" t="s">
        <v>65</v>
      </c>
      <c r="B11" s="165" t="s">
        <v>162</v>
      </c>
      <c r="C11" s="152"/>
      <c r="D11" s="236"/>
      <c r="E11" s="88"/>
      <c r="G11" s="719"/>
    </row>
    <row r="12" spans="1:7" s="47" customFormat="1" ht="12" customHeight="1">
      <c r="A12" s="182" t="s">
        <v>66</v>
      </c>
      <c r="B12" s="165" t="s">
        <v>623</v>
      </c>
      <c r="C12" s="152"/>
      <c r="D12" s="236"/>
      <c r="E12" s="88"/>
      <c r="G12" s="719"/>
    </row>
    <row r="13" spans="1:7" s="47" customFormat="1" ht="12" customHeight="1">
      <c r="A13" s="182" t="s">
        <v>98</v>
      </c>
      <c r="B13" s="165" t="s">
        <v>163</v>
      </c>
      <c r="C13" s="152"/>
      <c r="D13" s="236"/>
      <c r="E13" s="88"/>
      <c r="G13" s="719"/>
    </row>
    <row r="14" spans="1:7" s="47" customFormat="1" ht="12" customHeight="1">
      <c r="A14" s="183" t="s">
        <v>67</v>
      </c>
      <c r="B14" s="165" t="s">
        <v>392</v>
      </c>
      <c r="C14" s="152"/>
      <c r="D14" s="236"/>
      <c r="E14" s="88"/>
      <c r="G14" s="719"/>
    </row>
    <row r="15" spans="1:7" s="46" customFormat="1" ht="12" customHeight="1" thickBot="1">
      <c r="A15" s="183" t="s">
        <v>68</v>
      </c>
      <c r="B15" s="166" t="s">
        <v>333</v>
      </c>
      <c r="C15" s="152"/>
      <c r="D15" s="236"/>
      <c r="E15" s="88"/>
      <c r="G15" s="719"/>
    </row>
    <row r="16" spans="1:7" s="46" customFormat="1" ht="12" customHeight="1" thickBot="1">
      <c r="A16" s="24" t="s">
        <v>7</v>
      </c>
      <c r="B16" s="94" t="s">
        <v>164</v>
      </c>
      <c r="C16" s="151">
        <f>+C17+C18+C19+C20+C21</f>
        <v>0</v>
      </c>
      <c r="D16" s="234">
        <f>+D17+D18+D19+D20+D21</f>
        <v>0</v>
      </c>
      <c r="E16" s="87">
        <f>+E17+E18+E19+E20+E21</f>
        <v>0</v>
      </c>
      <c r="G16" s="718"/>
    </row>
    <row r="17" spans="1:7" s="46" customFormat="1" ht="12" customHeight="1">
      <c r="A17" s="181" t="s">
        <v>69</v>
      </c>
      <c r="B17" s="164" t="s">
        <v>165</v>
      </c>
      <c r="C17" s="153"/>
      <c r="D17" s="235"/>
      <c r="E17" s="89"/>
      <c r="G17" s="719"/>
    </row>
    <row r="18" spans="1:7" s="46" customFormat="1" ht="12" customHeight="1">
      <c r="A18" s="182" t="s">
        <v>70</v>
      </c>
      <c r="B18" s="165" t="s">
        <v>166</v>
      </c>
      <c r="C18" s="152"/>
      <c r="D18" s="236"/>
      <c r="E18" s="88"/>
      <c r="G18" s="719"/>
    </row>
    <row r="19" spans="1:7" s="46" customFormat="1" ht="12" customHeight="1">
      <c r="A19" s="182" t="s">
        <v>71</v>
      </c>
      <c r="B19" s="165" t="s">
        <v>324</v>
      </c>
      <c r="C19" s="152"/>
      <c r="D19" s="236"/>
      <c r="E19" s="88"/>
      <c r="G19" s="719"/>
    </row>
    <row r="20" spans="1:7" s="46" customFormat="1" ht="12" customHeight="1">
      <c r="A20" s="182" t="s">
        <v>72</v>
      </c>
      <c r="B20" s="165" t="s">
        <v>325</v>
      </c>
      <c r="C20" s="152"/>
      <c r="D20" s="236"/>
      <c r="E20" s="88"/>
      <c r="G20" s="719"/>
    </row>
    <row r="21" spans="1:7" s="46" customFormat="1" ht="12" customHeight="1">
      <c r="A21" s="182" t="s">
        <v>73</v>
      </c>
      <c r="B21" s="165" t="s">
        <v>167</v>
      </c>
      <c r="C21" s="152"/>
      <c r="D21" s="236"/>
      <c r="E21" s="88"/>
      <c r="G21" s="719"/>
    </row>
    <row r="22" spans="1:7" s="47" customFormat="1" ht="12" customHeight="1" thickBot="1">
      <c r="A22" s="183" t="s">
        <v>80</v>
      </c>
      <c r="B22" s="166" t="s">
        <v>168</v>
      </c>
      <c r="C22" s="154"/>
      <c r="D22" s="237"/>
      <c r="E22" s="90"/>
      <c r="G22" s="719"/>
    </row>
    <row r="23" spans="1:7" s="47" customFormat="1" ht="12" customHeight="1" thickBot="1">
      <c r="A23" s="24" t="s">
        <v>8</v>
      </c>
      <c r="B23" s="19" t="s">
        <v>169</v>
      </c>
      <c r="C23" s="151">
        <f>+C24+C25+C26+C27+C28</f>
        <v>0</v>
      </c>
      <c r="D23" s="234">
        <f>+D24+D25+D26+D27+D28</f>
        <v>0</v>
      </c>
      <c r="E23" s="87">
        <f>+E24+E25+E26+E27+E28</f>
        <v>0</v>
      </c>
      <c r="G23" s="718"/>
    </row>
    <row r="24" spans="1:7" s="47" customFormat="1" ht="12" customHeight="1">
      <c r="A24" s="181" t="s">
        <v>52</v>
      </c>
      <c r="B24" s="164" t="s">
        <v>170</v>
      </c>
      <c r="C24" s="153"/>
      <c r="D24" s="235"/>
      <c r="E24" s="89"/>
      <c r="G24" s="719"/>
    </row>
    <row r="25" spans="1:7" s="46" customFormat="1" ht="12" customHeight="1">
      <c r="A25" s="182" t="s">
        <v>53</v>
      </c>
      <c r="B25" s="165" t="s">
        <v>171</v>
      </c>
      <c r="C25" s="152"/>
      <c r="D25" s="236"/>
      <c r="E25" s="88"/>
      <c r="G25" s="719"/>
    </row>
    <row r="26" spans="1:7" s="47" customFormat="1" ht="12" customHeight="1">
      <c r="A26" s="182" t="s">
        <v>54</v>
      </c>
      <c r="B26" s="165" t="s">
        <v>326</v>
      </c>
      <c r="C26" s="152"/>
      <c r="D26" s="236"/>
      <c r="E26" s="88"/>
      <c r="G26" s="719"/>
    </row>
    <row r="27" spans="1:7" s="47" customFormat="1" ht="12" customHeight="1">
      <c r="A27" s="182" t="s">
        <v>55</v>
      </c>
      <c r="B27" s="165" t="s">
        <v>327</v>
      </c>
      <c r="C27" s="152"/>
      <c r="D27" s="236"/>
      <c r="E27" s="88"/>
      <c r="G27" s="719"/>
    </row>
    <row r="28" spans="1:7" s="47" customFormat="1" ht="12" customHeight="1">
      <c r="A28" s="182" t="s">
        <v>111</v>
      </c>
      <c r="B28" s="165" t="s">
        <v>172</v>
      </c>
      <c r="C28" s="152"/>
      <c r="D28" s="236"/>
      <c r="E28" s="88"/>
      <c r="G28" s="719"/>
    </row>
    <row r="29" spans="1:7" s="47" customFormat="1" ht="12" customHeight="1" thickBot="1">
      <c r="A29" s="183" t="s">
        <v>112</v>
      </c>
      <c r="B29" s="166" t="s">
        <v>173</v>
      </c>
      <c r="C29" s="154"/>
      <c r="D29" s="237"/>
      <c r="E29" s="90"/>
      <c r="G29" s="719"/>
    </row>
    <row r="30" spans="1:7" s="47" customFormat="1" ht="12" customHeight="1" thickBot="1">
      <c r="A30" s="24" t="s">
        <v>113</v>
      </c>
      <c r="B30" s="19" t="s">
        <v>478</v>
      </c>
      <c r="C30" s="157">
        <f>SUM(C31:C38)</f>
        <v>0</v>
      </c>
      <c r="D30" s="157">
        <f>SUM(D31:D38)</f>
        <v>0</v>
      </c>
      <c r="E30" s="193">
        <f>SUM(E31:E38)</f>
        <v>0</v>
      </c>
      <c r="G30" s="720"/>
    </row>
    <row r="31" spans="1:7" s="47" customFormat="1" ht="12" customHeight="1">
      <c r="A31" s="181" t="s">
        <v>174</v>
      </c>
      <c r="B31" s="164" t="s">
        <v>479</v>
      </c>
      <c r="C31" s="153"/>
      <c r="D31" s="153"/>
      <c r="E31" s="89">
        <f>+E32+E33+E34</f>
        <v>0</v>
      </c>
      <c r="G31" s="721"/>
    </row>
    <row r="32" spans="1:7" s="47" customFormat="1" ht="12" customHeight="1">
      <c r="A32" s="181" t="s">
        <v>175</v>
      </c>
      <c r="B32" s="164" t="s">
        <v>769</v>
      </c>
      <c r="C32" s="152"/>
      <c r="D32" s="152"/>
      <c r="E32" s="88"/>
      <c r="G32" s="721"/>
    </row>
    <row r="33" spans="1:7" s="47" customFormat="1" ht="12" customHeight="1">
      <c r="A33" s="182" t="s">
        <v>176</v>
      </c>
      <c r="B33" s="165" t="s">
        <v>480</v>
      </c>
      <c r="C33" s="152"/>
      <c r="D33" s="152"/>
      <c r="E33" s="88"/>
      <c r="G33" s="719"/>
    </row>
    <row r="34" spans="1:7" s="47" customFormat="1" ht="12" customHeight="1">
      <c r="A34" s="182" t="s">
        <v>177</v>
      </c>
      <c r="B34" s="165" t="s">
        <v>481</v>
      </c>
      <c r="C34" s="152"/>
      <c r="D34" s="152"/>
      <c r="E34" s="88"/>
      <c r="G34" s="719"/>
    </row>
    <row r="35" spans="1:7" s="47" customFormat="1" ht="12" customHeight="1">
      <c r="A35" s="182" t="s">
        <v>483</v>
      </c>
      <c r="B35" s="165" t="s">
        <v>770</v>
      </c>
      <c r="C35" s="152"/>
      <c r="D35" s="152"/>
      <c r="E35" s="88"/>
      <c r="G35" s="719"/>
    </row>
    <row r="36" spans="1:7" s="47" customFormat="1" ht="12" customHeight="1">
      <c r="A36" s="182" t="s">
        <v>484</v>
      </c>
      <c r="B36" s="165" t="s">
        <v>773</v>
      </c>
      <c r="C36" s="152"/>
      <c r="D36" s="152"/>
      <c r="E36" s="88"/>
      <c r="G36" s="719"/>
    </row>
    <row r="37" spans="1:7" s="47" customFormat="1" ht="12" customHeight="1">
      <c r="A37" s="182" t="s">
        <v>485</v>
      </c>
      <c r="B37" s="165" t="s">
        <v>771</v>
      </c>
      <c r="C37" s="152"/>
      <c r="D37" s="152"/>
      <c r="E37" s="88"/>
      <c r="G37" s="719"/>
    </row>
    <row r="38" spans="1:7" s="47" customFormat="1" ht="12" customHeight="1" thickBot="1">
      <c r="A38" s="183" t="s">
        <v>772</v>
      </c>
      <c r="B38" s="310" t="s">
        <v>774</v>
      </c>
      <c r="C38" s="154"/>
      <c r="D38" s="154"/>
      <c r="E38" s="90"/>
      <c r="G38" s="719"/>
    </row>
    <row r="39" spans="1:7" s="47" customFormat="1" ht="12" customHeight="1" thickBot="1">
      <c r="A39" s="24" t="s">
        <v>10</v>
      </c>
      <c r="B39" s="19" t="s">
        <v>334</v>
      </c>
      <c r="C39" s="151">
        <f>SUM(C40:C50)</f>
        <v>5855927</v>
      </c>
      <c r="D39" s="234">
        <f>SUM(D40:D50)</f>
        <v>12317626</v>
      </c>
      <c r="E39" s="87">
        <f>SUM(E40:E50)</f>
        <v>10927805</v>
      </c>
      <c r="G39" s="718"/>
    </row>
    <row r="40" spans="1:7" s="47" customFormat="1" ht="12" customHeight="1">
      <c r="A40" s="181" t="s">
        <v>56</v>
      </c>
      <c r="B40" s="164" t="s">
        <v>183</v>
      </c>
      <c r="C40" s="153"/>
      <c r="D40" s="235"/>
      <c r="E40" s="89"/>
      <c r="G40" s="719"/>
    </row>
    <row r="41" spans="1:7" s="47" customFormat="1" ht="12" customHeight="1">
      <c r="A41" s="182" t="s">
        <v>57</v>
      </c>
      <c r="B41" s="165" t="s">
        <v>184</v>
      </c>
      <c r="C41" s="152">
        <v>5855927</v>
      </c>
      <c r="D41" s="236">
        <v>12317626</v>
      </c>
      <c r="E41" s="88">
        <v>10927805</v>
      </c>
      <c r="G41" s="719"/>
    </row>
    <row r="42" spans="1:7" s="47" customFormat="1" ht="12" customHeight="1">
      <c r="A42" s="182" t="s">
        <v>58</v>
      </c>
      <c r="B42" s="165" t="s">
        <v>185</v>
      </c>
      <c r="C42" s="152"/>
      <c r="D42" s="236"/>
      <c r="E42" s="88"/>
      <c r="G42" s="719"/>
    </row>
    <row r="43" spans="1:7" s="47" customFormat="1" ht="12" customHeight="1">
      <c r="A43" s="182" t="s">
        <v>115</v>
      </c>
      <c r="B43" s="165" t="s">
        <v>186</v>
      </c>
      <c r="C43" s="152"/>
      <c r="D43" s="236"/>
      <c r="E43" s="88"/>
      <c r="G43" s="719"/>
    </row>
    <row r="44" spans="1:7" s="47" customFormat="1" ht="12" customHeight="1">
      <c r="A44" s="182" t="s">
        <v>116</v>
      </c>
      <c r="B44" s="165" t="s">
        <v>187</v>
      </c>
      <c r="C44" s="152"/>
      <c r="D44" s="236"/>
      <c r="E44" s="88"/>
      <c r="G44" s="719"/>
    </row>
    <row r="45" spans="1:7" s="47" customFormat="1" ht="12" customHeight="1">
      <c r="A45" s="182" t="s">
        <v>117</v>
      </c>
      <c r="B45" s="165" t="s">
        <v>188</v>
      </c>
      <c r="C45" s="152"/>
      <c r="D45" s="236"/>
      <c r="E45" s="88"/>
      <c r="G45" s="719"/>
    </row>
    <row r="46" spans="1:7" s="47" customFormat="1" ht="12" customHeight="1">
      <c r="A46" s="182" t="s">
        <v>118</v>
      </c>
      <c r="B46" s="165" t="s">
        <v>189</v>
      </c>
      <c r="C46" s="152"/>
      <c r="D46" s="236"/>
      <c r="E46" s="88"/>
      <c r="G46" s="719"/>
    </row>
    <row r="47" spans="1:7" s="47" customFormat="1" ht="12" customHeight="1">
      <c r="A47" s="182" t="s">
        <v>119</v>
      </c>
      <c r="B47" s="165" t="s">
        <v>486</v>
      </c>
      <c r="C47" s="152"/>
      <c r="D47" s="236"/>
      <c r="E47" s="88"/>
      <c r="G47" s="719"/>
    </row>
    <row r="48" spans="1:7" s="47" customFormat="1" ht="12" customHeight="1">
      <c r="A48" s="182" t="s">
        <v>181</v>
      </c>
      <c r="B48" s="165" t="s">
        <v>191</v>
      </c>
      <c r="C48" s="155"/>
      <c r="D48" s="295"/>
      <c r="E48" s="91"/>
      <c r="G48" s="722"/>
    </row>
    <row r="49" spans="1:7" s="47" customFormat="1" ht="12" customHeight="1">
      <c r="A49" s="183" t="s">
        <v>182</v>
      </c>
      <c r="B49" s="166" t="s">
        <v>336</v>
      </c>
      <c r="C49" s="156"/>
      <c r="D49" s="296"/>
      <c r="E49" s="92"/>
      <c r="G49" s="722"/>
    </row>
    <row r="50" spans="1:7" s="47" customFormat="1" ht="12" customHeight="1" thickBot="1">
      <c r="A50" s="183" t="s">
        <v>335</v>
      </c>
      <c r="B50" s="166" t="s">
        <v>192</v>
      </c>
      <c r="C50" s="156"/>
      <c r="D50" s="296"/>
      <c r="E50" s="92"/>
      <c r="G50" s="722"/>
    </row>
    <row r="51" spans="1:7" s="47" customFormat="1" ht="12" customHeight="1" thickBot="1">
      <c r="A51" s="24" t="s">
        <v>11</v>
      </c>
      <c r="B51" s="19" t="s">
        <v>193</v>
      </c>
      <c r="C51" s="151">
        <f>SUM(C52:C56)</f>
        <v>18199964</v>
      </c>
      <c r="D51" s="234">
        <f>SUM(D52:D56)</f>
        <v>18200000</v>
      </c>
      <c r="E51" s="87">
        <f>SUM(E52:E56)</f>
        <v>18200000</v>
      </c>
      <c r="G51" s="718"/>
    </row>
    <row r="52" spans="1:7" s="47" customFormat="1" ht="12" customHeight="1">
      <c r="A52" s="181" t="s">
        <v>59</v>
      </c>
      <c r="B52" s="164" t="s">
        <v>197</v>
      </c>
      <c r="C52" s="204"/>
      <c r="D52" s="297"/>
      <c r="E52" s="93"/>
      <c r="G52" s="722"/>
    </row>
    <row r="53" spans="1:7" s="47" customFormat="1" ht="12" customHeight="1">
      <c r="A53" s="182" t="s">
        <v>60</v>
      </c>
      <c r="B53" s="165" t="s">
        <v>198</v>
      </c>
      <c r="C53" s="155">
        <v>18199964</v>
      </c>
      <c r="D53" s="295">
        <v>18200000</v>
      </c>
      <c r="E53" s="91">
        <v>18200000</v>
      </c>
      <c r="G53" s="722"/>
    </row>
    <row r="54" spans="1:7" s="47" customFormat="1" ht="12" customHeight="1">
      <c r="A54" s="182" t="s">
        <v>194</v>
      </c>
      <c r="B54" s="165" t="s">
        <v>199</v>
      </c>
      <c r="C54" s="155"/>
      <c r="D54" s="295"/>
      <c r="E54" s="91"/>
      <c r="G54" s="722"/>
    </row>
    <row r="55" spans="1:7" s="47" customFormat="1" ht="12" customHeight="1">
      <c r="A55" s="182" t="s">
        <v>195</v>
      </c>
      <c r="B55" s="165" t="s">
        <v>200</v>
      </c>
      <c r="C55" s="155"/>
      <c r="D55" s="295"/>
      <c r="E55" s="91"/>
      <c r="G55" s="722"/>
    </row>
    <row r="56" spans="1:7" s="47" customFormat="1" ht="12" customHeight="1" thickBot="1">
      <c r="A56" s="183" t="s">
        <v>196</v>
      </c>
      <c r="B56" s="166" t="s">
        <v>201</v>
      </c>
      <c r="C56" s="156"/>
      <c r="D56" s="296"/>
      <c r="E56" s="92"/>
      <c r="G56" s="722"/>
    </row>
    <row r="57" spans="1:7" s="47" customFormat="1" ht="12" customHeight="1" thickBot="1">
      <c r="A57" s="24" t="s">
        <v>120</v>
      </c>
      <c r="B57" s="19" t="s">
        <v>202</v>
      </c>
      <c r="C57" s="151">
        <f>SUM(C58:C60)</f>
        <v>0</v>
      </c>
      <c r="D57" s="234">
        <f>SUM(D58:D60)</f>
        <v>0</v>
      </c>
      <c r="E57" s="87">
        <f>SUM(E58:E60)</f>
        <v>0</v>
      </c>
      <c r="G57" s="718"/>
    </row>
    <row r="58" spans="1:7" s="47" customFormat="1" ht="12" customHeight="1">
      <c r="A58" s="181" t="s">
        <v>61</v>
      </c>
      <c r="B58" s="164" t="s">
        <v>203</v>
      </c>
      <c r="C58" s="153"/>
      <c r="D58" s="235"/>
      <c r="E58" s="89"/>
      <c r="G58" s="719"/>
    </row>
    <row r="59" spans="1:7" s="47" customFormat="1" ht="12" customHeight="1">
      <c r="A59" s="182" t="s">
        <v>62</v>
      </c>
      <c r="B59" s="165" t="s">
        <v>328</v>
      </c>
      <c r="C59" s="152"/>
      <c r="D59" s="236"/>
      <c r="E59" s="88"/>
      <c r="G59" s="719"/>
    </row>
    <row r="60" spans="1:7" s="47" customFormat="1" ht="12" customHeight="1">
      <c r="A60" s="182" t="s">
        <v>206</v>
      </c>
      <c r="B60" s="165" t="s">
        <v>204</v>
      </c>
      <c r="C60" s="152"/>
      <c r="D60" s="236"/>
      <c r="E60" s="88"/>
      <c r="G60" s="719"/>
    </row>
    <row r="61" spans="1:7" s="47" customFormat="1" ht="12" customHeight="1" thickBot="1">
      <c r="A61" s="183" t="s">
        <v>207</v>
      </c>
      <c r="B61" s="166" t="s">
        <v>205</v>
      </c>
      <c r="C61" s="154"/>
      <c r="D61" s="237"/>
      <c r="E61" s="90"/>
      <c r="G61" s="719"/>
    </row>
    <row r="62" spans="1:7" s="47" customFormat="1" ht="12" customHeight="1" thickBot="1">
      <c r="A62" s="24" t="s">
        <v>13</v>
      </c>
      <c r="B62" s="94" t="s">
        <v>208</v>
      </c>
      <c r="C62" s="151">
        <f>SUM(C63:C65)</f>
        <v>0</v>
      </c>
      <c r="D62" s="234">
        <f>SUM(D63:D65)</f>
        <v>0</v>
      </c>
      <c r="E62" s="87">
        <f>SUM(E63:E65)</f>
        <v>0</v>
      </c>
      <c r="G62" s="718"/>
    </row>
    <row r="63" spans="1:7" s="47" customFormat="1" ht="12" customHeight="1">
      <c r="A63" s="181" t="s">
        <v>121</v>
      </c>
      <c r="B63" s="164" t="s">
        <v>210</v>
      </c>
      <c r="C63" s="155"/>
      <c r="D63" s="295"/>
      <c r="E63" s="91"/>
      <c r="G63" s="722"/>
    </row>
    <row r="64" spans="1:7" s="47" customFormat="1" ht="12" customHeight="1">
      <c r="A64" s="182" t="s">
        <v>122</v>
      </c>
      <c r="B64" s="165" t="s">
        <v>329</v>
      </c>
      <c r="C64" s="155"/>
      <c r="D64" s="295"/>
      <c r="E64" s="91"/>
      <c r="G64" s="722"/>
    </row>
    <row r="65" spans="1:7" s="47" customFormat="1" ht="12" customHeight="1">
      <c r="A65" s="182" t="s">
        <v>141</v>
      </c>
      <c r="B65" s="165" t="s">
        <v>211</v>
      </c>
      <c r="C65" s="155"/>
      <c r="D65" s="295"/>
      <c r="E65" s="91"/>
      <c r="G65" s="722"/>
    </row>
    <row r="66" spans="1:7" s="47" customFormat="1" ht="12" customHeight="1" thickBot="1">
      <c r="A66" s="183" t="s">
        <v>209</v>
      </c>
      <c r="B66" s="166" t="s">
        <v>212</v>
      </c>
      <c r="C66" s="155"/>
      <c r="D66" s="295"/>
      <c r="E66" s="91"/>
      <c r="G66" s="722"/>
    </row>
    <row r="67" spans="1:7" s="47" customFormat="1" ht="12" customHeight="1" thickBot="1">
      <c r="A67" s="24" t="s">
        <v>14</v>
      </c>
      <c r="B67" s="19" t="s">
        <v>213</v>
      </c>
      <c r="C67" s="157">
        <f>+C8+C16+C23+C30+C39+C51+C57+C62</f>
        <v>24055891</v>
      </c>
      <c r="D67" s="238">
        <f>+D8+D16+D23+D30+D39+D51+D57+D62</f>
        <v>30517626</v>
      </c>
      <c r="E67" s="193">
        <f>+E8+E16+E23+E30+E39+E51+E57+E62</f>
        <v>29127805</v>
      </c>
      <c r="G67" s="720"/>
    </row>
    <row r="68" spans="1:7" s="47" customFormat="1" ht="12" customHeight="1" thickBot="1">
      <c r="A68" s="184" t="s">
        <v>298</v>
      </c>
      <c r="B68" s="94" t="s">
        <v>215</v>
      </c>
      <c r="C68" s="151">
        <f>SUM(C69:C71)</f>
        <v>0</v>
      </c>
      <c r="D68" s="234">
        <f>SUM(D69:D71)</f>
        <v>0</v>
      </c>
      <c r="E68" s="87">
        <f>SUM(E69:E71)</f>
        <v>0</v>
      </c>
      <c r="G68" s="718"/>
    </row>
    <row r="69" spans="1:7" s="47" customFormat="1" ht="12" customHeight="1">
      <c r="A69" s="181" t="s">
        <v>243</v>
      </c>
      <c r="B69" s="164" t="s">
        <v>216</v>
      </c>
      <c r="C69" s="155"/>
      <c r="D69" s="295"/>
      <c r="E69" s="91"/>
      <c r="G69" s="722"/>
    </row>
    <row r="70" spans="1:7" s="47" customFormat="1" ht="12" customHeight="1">
      <c r="A70" s="182" t="s">
        <v>252</v>
      </c>
      <c r="B70" s="165" t="s">
        <v>217</v>
      </c>
      <c r="C70" s="155"/>
      <c r="D70" s="295"/>
      <c r="E70" s="91"/>
      <c r="G70" s="722"/>
    </row>
    <row r="71" spans="1:7" s="47" customFormat="1" ht="12" customHeight="1" thickBot="1">
      <c r="A71" s="183" t="s">
        <v>253</v>
      </c>
      <c r="B71" s="167" t="s">
        <v>218</v>
      </c>
      <c r="C71" s="155"/>
      <c r="D71" s="298"/>
      <c r="E71" s="91"/>
      <c r="G71" s="722"/>
    </row>
    <row r="72" spans="1:7" s="47" customFormat="1" ht="12" customHeight="1" thickBot="1">
      <c r="A72" s="184" t="s">
        <v>219</v>
      </c>
      <c r="B72" s="94" t="s">
        <v>220</v>
      </c>
      <c r="C72" s="151">
        <f>SUM(C73:C76)</f>
        <v>0</v>
      </c>
      <c r="D72" s="151">
        <f>SUM(D73:D76)</f>
        <v>0</v>
      </c>
      <c r="E72" s="87">
        <f>SUM(E73:E76)</f>
        <v>0</v>
      </c>
      <c r="G72" s="718"/>
    </row>
    <row r="73" spans="1:7" s="47" customFormat="1" ht="12" customHeight="1">
      <c r="A73" s="181" t="s">
        <v>99</v>
      </c>
      <c r="B73" s="338" t="s">
        <v>221</v>
      </c>
      <c r="C73" s="155"/>
      <c r="D73" s="155"/>
      <c r="E73" s="91"/>
      <c r="G73" s="722"/>
    </row>
    <row r="74" spans="1:7" s="47" customFormat="1" ht="12" customHeight="1">
      <c r="A74" s="182" t="s">
        <v>100</v>
      </c>
      <c r="B74" s="338" t="s">
        <v>493</v>
      </c>
      <c r="C74" s="155"/>
      <c r="D74" s="155"/>
      <c r="E74" s="91"/>
      <c r="G74" s="722"/>
    </row>
    <row r="75" spans="1:7" s="47" customFormat="1" ht="12" customHeight="1">
      <c r="A75" s="182" t="s">
        <v>244</v>
      </c>
      <c r="B75" s="338" t="s">
        <v>222</v>
      </c>
      <c r="C75" s="155"/>
      <c r="D75" s="155"/>
      <c r="E75" s="91"/>
      <c r="G75" s="722"/>
    </row>
    <row r="76" spans="1:7" s="47" customFormat="1" ht="12" customHeight="1" thickBot="1">
      <c r="A76" s="183" t="s">
        <v>245</v>
      </c>
      <c r="B76" s="339" t="s">
        <v>494</v>
      </c>
      <c r="C76" s="155"/>
      <c r="D76" s="155"/>
      <c r="E76" s="91"/>
      <c r="G76" s="722"/>
    </row>
    <row r="77" spans="1:7" s="47" customFormat="1" ht="12" customHeight="1" thickBot="1">
      <c r="A77" s="184" t="s">
        <v>223</v>
      </c>
      <c r="B77" s="94" t="s">
        <v>224</v>
      </c>
      <c r="C77" s="151">
        <f>SUM(C78:C79)</f>
        <v>0</v>
      </c>
      <c r="D77" s="151">
        <f>SUM(D78:D79)</f>
        <v>0</v>
      </c>
      <c r="E77" s="87">
        <f>SUM(E78:E79)</f>
        <v>0</v>
      </c>
      <c r="G77" s="718"/>
    </row>
    <row r="78" spans="1:7" s="47" customFormat="1" ht="12" customHeight="1">
      <c r="A78" s="181" t="s">
        <v>246</v>
      </c>
      <c r="B78" s="164" t="s">
        <v>225</v>
      </c>
      <c r="C78" s="155"/>
      <c r="D78" s="155"/>
      <c r="E78" s="91"/>
      <c r="G78" s="722"/>
    </row>
    <row r="79" spans="1:7" s="47" customFormat="1" ht="12" customHeight="1" thickBot="1">
      <c r="A79" s="183" t="s">
        <v>247</v>
      </c>
      <c r="B79" s="166" t="s">
        <v>226</v>
      </c>
      <c r="C79" s="155"/>
      <c r="D79" s="155"/>
      <c r="E79" s="91"/>
      <c r="G79" s="722"/>
    </row>
    <row r="80" spans="1:7" s="46" customFormat="1" ht="12" customHeight="1" thickBot="1">
      <c r="A80" s="184" t="s">
        <v>227</v>
      </c>
      <c r="B80" s="94" t="s">
        <v>228</v>
      </c>
      <c r="C80" s="151">
        <f>SUM(C81:C83)</f>
        <v>0</v>
      </c>
      <c r="D80" s="151">
        <f>SUM(D81:D83)</f>
        <v>0</v>
      </c>
      <c r="E80" s="87">
        <f>SUM(E81:E83)</f>
        <v>0</v>
      </c>
      <c r="G80" s="718"/>
    </row>
    <row r="81" spans="1:7" s="47" customFormat="1" ht="12" customHeight="1">
      <c r="A81" s="181" t="s">
        <v>248</v>
      </c>
      <c r="B81" s="164" t="s">
        <v>229</v>
      </c>
      <c r="C81" s="155"/>
      <c r="D81" s="155"/>
      <c r="E81" s="91"/>
      <c r="G81" s="722"/>
    </row>
    <row r="82" spans="1:7" s="47" customFormat="1" ht="12" customHeight="1">
      <c r="A82" s="182" t="s">
        <v>249</v>
      </c>
      <c r="B82" s="165" t="s">
        <v>230</v>
      </c>
      <c r="C82" s="155"/>
      <c r="D82" s="155"/>
      <c r="E82" s="91"/>
      <c r="G82" s="722"/>
    </row>
    <row r="83" spans="1:7" s="47" customFormat="1" ht="12" customHeight="1" thickBot="1">
      <c r="A83" s="183" t="s">
        <v>250</v>
      </c>
      <c r="B83" s="166" t="s">
        <v>495</v>
      </c>
      <c r="C83" s="155"/>
      <c r="D83" s="155"/>
      <c r="E83" s="91"/>
      <c r="G83" s="722"/>
    </row>
    <row r="84" spans="1:7" s="47" customFormat="1" ht="12" customHeight="1" thickBot="1">
      <c r="A84" s="184" t="s">
        <v>231</v>
      </c>
      <c r="B84" s="94" t="s">
        <v>251</v>
      </c>
      <c r="C84" s="151">
        <f>SUM(C85:C88)</f>
        <v>0</v>
      </c>
      <c r="D84" s="151">
        <f>SUM(D85:D88)</f>
        <v>0</v>
      </c>
      <c r="E84" s="87">
        <f>SUM(E85:E88)</f>
        <v>0</v>
      </c>
      <c r="G84" s="718"/>
    </row>
    <row r="85" spans="1:7" s="47" customFormat="1" ht="12" customHeight="1">
      <c r="A85" s="185" t="s">
        <v>232</v>
      </c>
      <c r="B85" s="164" t="s">
        <v>233</v>
      </c>
      <c r="C85" s="155"/>
      <c r="D85" s="155"/>
      <c r="E85" s="91"/>
      <c r="G85" s="722"/>
    </row>
    <row r="86" spans="1:7" s="47" customFormat="1" ht="12" customHeight="1">
      <c r="A86" s="186" t="s">
        <v>234</v>
      </c>
      <c r="B86" s="165" t="s">
        <v>235</v>
      </c>
      <c r="C86" s="155"/>
      <c r="D86" s="155"/>
      <c r="E86" s="91"/>
      <c r="G86" s="722"/>
    </row>
    <row r="87" spans="1:7" s="47" customFormat="1" ht="12" customHeight="1">
      <c r="A87" s="186" t="s">
        <v>236</v>
      </c>
      <c r="B87" s="165" t="s">
        <v>237</v>
      </c>
      <c r="C87" s="155"/>
      <c r="D87" s="155"/>
      <c r="E87" s="91"/>
      <c r="G87" s="722"/>
    </row>
    <row r="88" spans="1:7" s="46" customFormat="1" ht="12" customHeight="1" thickBot="1">
      <c r="A88" s="187" t="s">
        <v>238</v>
      </c>
      <c r="B88" s="166" t="s">
        <v>239</v>
      </c>
      <c r="C88" s="155"/>
      <c r="D88" s="155"/>
      <c r="E88" s="91"/>
      <c r="G88" s="722"/>
    </row>
    <row r="89" spans="1:7" s="46" customFormat="1" ht="12" customHeight="1" thickBot="1">
      <c r="A89" s="184" t="s">
        <v>240</v>
      </c>
      <c r="B89" s="94" t="s">
        <v>375</v>
      </c>
      <c r="C89" s="207"/>
      <c r="D89" s="207"/>
      <c r="E89" s="208"/>
      <c r="G89" s="723"/>
    </row>
    <row r="90" spans="1:7" s="46" customFormat="1" ht="12" customHeight="1" thickBot="1">
      <c r="A90" s="184" t="s">
        <v>393</v>
      </c>
      <c r="B90" s="94" t="s">
        <v>241</v>
      </c>
      <c r="C90" s="207"/>
      <c r="D90" s="207"/>
      <c r="E90" s="208"/>
      <c r="G90" s="723"/>
    </row>
    <row r="91" spans="1:7" s="46" customFormat="1" ht="12" customHeight="1" thickBot="1">
      <c r="A91" s="184" t="s">
        <v>394</v>
      </c>
      <c r="B91" s="171" t="s">
        <v>378</v>
      </c>
      <c r="C91" s="157">
        <f>+C68+C72+C77+C80+C84+C90+C89</f>
        <v>0</v>
      </c>
      <c r="D91" s="157">
        <f>+D68+D72+D77+D80+D84+D90+D89</f>
        <v>0</v>
      </c>
      <c r="E91" s="193">
        <f>+E68+E72+E77+E80+E84+E90+E89</f>
        <v>0</v>
      </c>
      <c r="G91" s="720"/>
    </row>
    <row r="92" spans="1:7" s="46" customFormat="1" ht="12" customHeight="1" thickBot="1">
      <c r="A92" s="188" t="s">
        <v>395</v>
      </c>
      <c r="B92" s="172" t="s">
        <v>396</v>
      </c>
      <c r="C92" s="157">
        <f>+C67+C91</f>
        <v>24055891</v>
      </c>
      <c r="D92" s="157">
        <f>+D67+D91</f>
        <v>30517626</v>
      </c>
      <c r="E92" s="193">
        <f>+E67+E91</f>
        <v>29127805</v>
      </c>
      <c r="G92" s="720"/>
    </row>
    <row r="93" spans="1:3" s="47" customFormat="1" ht="15" customHeight="1" thickBot="1">
      <c r="A93" s="77"/>
      <c r="B93" s="78"/>
      <c r="C93" s="133"/>
    </row>
    <row r="94" spans="1:5" s="40" customFormat="1" ht="16.5" customHeight="1" thickBot="1">
      <c r="A94" s="891" t="s">
        <v>41</v>
      </c>
      <c r="B94" s="892"/>
      <c r="C94" s="892"/>
      <c r="D94" s="892"/>
      <c r="E94" s="893"/>
    </row>
    <row r="95" spans="1:5" s="48" customFormat="1" ht="12" customHeight="1" thickBot="1">
      <c r="A95" s="158" t="s">
        <v>6</v>
      </c>
      <c r="B95" s="23" t="s">
        <v>400</v>
      </c>
      <c r="C95" s="150">
        <f>+C96+C97+C98+C99+C100+C113</f>
        <v>1509185</v>
      </c>
      <c r="D95" s="150">
        <f>+D96+D97+D98+D99+D100+D113</f>
        <v>1509185</v>
      </c>
      <c r="E95" s="217">
        <f>+E96+E97+E98+E99+E100+E113</f>
        <v>1129801</v>
      </c>
    </row>
    <row r="96" spans="1:5" ht="12" customHeight="1">
      <c r="A96" s="189" t="s">
        <v>63</v>
      </c>
      <c r="B96" s="8" t="s">
        <v>35</v>
      </c>
      <c r="C96" s="224"/>
      <c r="D96" s="224"/>
      <c r="E96" s="218"/>
    </row>
    <row r="97" spans="1:5" ht="12" customHeight="1">
      <c r="A97" s="182" t="s">
        <v>64</v>
      </c>
      <c r="B97" s="6" t="s">
        <v>123</v>
      </c>
      <c r="C97" s="152"/>
      <c r="D97" s="152"/>
      <c r="E97" s="88"/>
    </row>
    <row r="98" spans="1:5" ht="12" customHeight="1">
      <c r="A98" s="182" t="s">
        <v>65</v>
      </c>
      <c r="B98" s="6" t="s">
        <v>91</v>
      </c>
      <c r="C98" s="154"/>
      <c r="D98" s="152"/>
      <c r="E98" s="90"/>
    </row>
    <row r="99" spans="1:5" ht="12" customHeight="1">
      <c r="A99" s="182" t="s">
        <v>66</v>
      </c>
      <c r="B99" s="9" t="s">
        <v>124</v>
      </c>
      <c r="C99" s="154"/>
      <c r="D99" s="237"/>
      <c r="E99" s="90"/>
    </row>
    <row r="100" spans="1:5" ht="12" customHeight="1">
      <c r="A100" s="182" t="s">
        <v>75</v>
      </c>
      <c r="B100" s="17" t="s">
        <v>125</v>
      </c>
      <c r="C100" s="154">
        <v>1509185</v>
      </c>
      <c r="D100" s="237">
        <v>1509185</v>
      </c>
      <c r="E100" s="90">
        <v>1129801</v>
      </c>
    </row>
    <row r="101" spans="1:5" ht="12" customHeight="1">
      <c r="A101" s="182" t="s">
        <v>67</v>
      </c>
      <c r="B101" s="6" t="s">
        <v>397</v>
      </c>
      <c r="C101" s="154"/>
      <c r="D101" s="237"/>
      <c r="E101" s="90"/>
    </row>
    <row r="102" spans="1:5" ht="12" customHeight="1">
      <c r="A102" s="182" t="s">
        <v>68</v>
      </c>
      <c r="B102" s="57" t="s">
        <v>341</v>
      </c>
      <c r="C102" s="154"/>
      <c r="D102" s="237"/>
      <c r="E102" s="90"/>
    </row>
    <row r="103" spans="1:5" ht="12" customHeight="1">
      <c r="A103" s="182" t="s">
        <v>76</v>
      </c>
      <c r="B103" s="57" t="s">
        <v>340</v>
      </c>
      <c r="C103" s="154"/>
      <c r="D103" s="237"/>
      <c r="E103" s="90"/>
    </row>
    <row r="104" spans="1:5" ht="12" customHeight="1">
      <c r="A104" s="182" t="s">
        <v>77</v>
      </c>
      <c r="B104" s="57" t="s">
        <v>257</v>
      </c>
      <c r="C104" s="154"/>
      <c r="D104" s="237"/>
      <c r="E104" s="90"/>
    </row>
    <row r="105" spans="1:5" ht="12" customHeight="1">
      <c r="A105" s="182" t="s">
        <v>78</v>
      </c>
      <c r="B105" s="58" t="s">
        <v>258</v>
      </c>
      <c r="C105" s="154"/>
      <c r="D105" s="237"/>
      <c r="E105" s="90"/>
    </row>
    <row r="106" spans="1:5" ht="12" customHeight="1">
      <c r="A106" s="182" t="s">
        <v>79</v>
      </c>
      <c r="B106" s="58" t="s">
        <v>259</v>
      </c>
      <c r="C106" s="154"/>
      <c r="D106" s="237"/>
      <c r="E106" s="90"/>
    </row>
    <row r="107" spans="1:5" ht="12" customHeight="1">
      <c r="A107" s="182" t="s">
        <v>81</v>
      </c>
      <c r="B107" s="57" t="s">
        <v>260</v>
      </c>
      <c r="C107" s="154"/>
      <c r="D107" s="237"/>
      <c r="E107" s="90"/>
    </row>
    <row r="108" spans="1:5" ht="12" customHeight="1">
      <c r="A108" s="182" t="s">
        <v>126</v>
      </c>
      <c r="B108" s="57" t="s">
        <v>261</v>
      </c>
      <c r="C108" s="154"/>
      <c r="D108" s="237"/>
      <c r="E108" s="90"/>
    </row>
    <row r="109" spans="1:5" ht="12" customHeight="1">
      <c r="A109" s="182" t="s">
        <v>255</v>
      </c>
      <c r="B109" s="58" t="s">
        <v>262</v>
      </c>
      <c r="C109" s="152"/>
      <c r="D109" s="237"/>
      <c r="E109" s="90"/>
    </row>
    <row r="110" spans="1:5" ht="12" customHeight="1">
      <c r="A110" s="190" t="s">
        <v>256</v>
      </c>
      <c r="B110" s="59" t="s">
        <v>263</v>
      </c>
      <c r="C110" s="154"/>
      <c r="D110" s="237"/>
      <c r="E110" s="90"/>
    </row>
    <row r="111" spans="1:5" ht="12" customHeight="1">
      <c r="A111" s="182" t="s">
        <v>338</v>
      </c>
      <c r="B111" s="59" t="s">
        <v>264</v>
      </c>
      <c r="C111" s="154"/>
      <c r="D111" s="237"/>
      <c r="E111" s="90"/>
    </row>
    <row r="112" spans="1:5" ht="12" customHeight="1">
      <c r="A112" s="182" t="s">
        <v>339</v>
      </c>
      <c r="B112" s="58" t="s">
        <v>265</v>
      </c>
      <c r="C112" s="152">
        <v>1509185</v>
      </c>
      <c r="D112" s="236">
        <v>1509185</v>
      </c>
      <c r="E112" s="88">
        <v>1129801</v>
      </c>
    </row>
    <row r="113" spans="1:5" ht="12" customHeight="1">
      <c r="A113" s="182" t="s">
        <v>343</v>
      </c>
      <c r="B113" s="9" t="s">
        <v>36</v>
      </c>
      <c r="C113" s="152"/>
      <c r="D113" s="236"/>
      <c r="E113" s="88"/>
    </row>
    <row r="114" spans="1:5" ht="12" customHeight="1">
      <c r="A114" s="183" t="s">
        <v>344</v>
      </c>
      <c r="B114" s="6" t="s">
        <v>398</v>
      </c>
      <c r="C114" s="154"/>
      <c r="D114" s="237"/>
      <c r="E114" s="90"/>
    </row>
    <row r="115" spans="1:5" ht="12" customHeight="1" thickBot="1">
      <c r="A115" s="191" t="s">
        <v>345</v>
      </c>
      <c r="B115" s="60" t="s">
        <v>399</v>
      </c>
      <c r="C115" s="225"/>
      <c r="D115" s="301"/>
      <c r="E115" s="219"/>
    </row>
    <row r="116" spans="1:5" ht="12" customHeight="1" thickBot="1">
      <c r="A116" s="24" t="s">
        <v>7</v>
      </c>
      <c r="B116" s="22" t="s">
        <v>266</v>
      </c>
      <c r="C116" s="151">
        <f>+C117+C119+C121</f>
        <v>2000000</v>
      </c>
      <c r="D116" s="234">
        <f>+D117+D119+D121</f>
        <v>2000000</v>
      </c>
      <c r="E116" s="87">
        <f>+E117+E119+E121</f>
        <v>0</v>
      </c>
    </row>
    <row r="117" spans="1:5" ht="12" customHeight="1">
      <c r="A117" s="181" t="s">
        <v>69</v>
      </c>
      <c r="B117" s="6" t="s">
        <v>140</v>
      </c>
      <c r="C117" s="153"/>
      <c r="D117" s="235"/>
      <c r="E117" s="89"/>
    </row>
    <row r="118" spans="1:5" ht="12" customHeight="1">
      <c r="A118" s="181" t="s">
        <v>70</v>
      </c>
      <c r="B118" s="10" t="s">
        <v>270</v>
      </c>
      <c r="C118" s="153"/>
      <c r="D118" s="235"/>
      <c r="E118" s="89"/>
    </row>
    <row r="119" spans="1:5" ht="12" customHeight="1">
      <c r="A119" s="181" t="s">
        <v>71</v>
      </c>
      <c r="B119" s="10" t="s">
        <v>127</v>
      </c>
      <c r="C119" s="152"/>
      <c r="D119" s="236"/>
      <c r="E119" s="88"/>
    </row>
    <row r="120" spans="1:5" ht="12" customHeight="1">
      <c r="A120" s="181" t="s">
        <v>72</v>
      </c>
      <c r="B120" s="10" t="s">
        <v>271</v>
      </c>
      <c r="C120" s="152"/>
      <c r="D120" s="236"/>
      <c r="E120" s="88"/>
    </row>
    <row r="121" spans="1:5" ht="12" customHeight="1">
      <c r="A121" s="181" t="s">
        <v>73</v>
      </c>
      <c r="B121" s="96" t="s">
        <v>142</v>
      </c>
      <c r="C121" s="152">
        <v>2000000</v>
      </c>
      <c r="D121" s="236">
        <v>2000000</v>
      </c>
      <c r="E121" s="88"/>
    </row>
    <row r="122" spans="1:5" ht="12" customHeight="1">
      <c r="A122" s="181" t="s">
        <v>80</v>
      </c>
      <c r="B122" s="95" t="s">
        <v>330</v>
      </c>
      <c r="C122" s="152"/>
      <c r="D122" s="236"/>
      <c r="E122" s="88"/>
    </row>
    <row r="123" spans="1:5" ht="12" customHeight="1">
      <c r="A123" s="181" t="s">
        <v>82</v>
      </c>
      <c r="B123" s="160" t="s">
        <v>276</v>
      </c>
      <c r="C123" s="152"/>
      <c r="D123" s="236"/>
      <c r="E123" s="88"/>
    </row>
    <row r="124" spans="1:5" ht="12" customHeight="1">
      <c r="A124" s="181" t="s">
        <v>128</v>
      </c>
      <c r="B124" s="58" t="s">
        <v>259</v>
      </c>
      <c r="C124" s="152"/>
      <c r="D124" s="236"/>
      <c r="E124" s="88"/>
    </row>
    <row r="125" spans="1:5" ht="12" customHeight="1">
      <c r="A125" s="181" t="s">
        <v>129</v>
      </c>
      <c r="B125" s="58" t="s">
        <v>275</v>
      </c>
      <c r="C125" s="152"/>
      <c r="D125" s="236"/>
      <c r="E125" s="88"/>
    </row>
    <row r="126" spans="1:5" ht="12" customHeight="1">
      <c r="A126" s="181" t="s">
        <v>130</v>
      </c>
      <c r="B126" s="58" t="s">
        <v>274</v>
      </c>
      <c r="C126" s="152"/>
      <c r="D126" s="236"/>
      <c r="E126" s="88"/>
    </row>
    <row r="127" spans="1:5" ht="12" customHeight="1">
      <c r="A127" s="181" t="s">
        <v>267</v>
      </c>
      <c r="B127" s="58" t="s">
        <v>262</v>
      </c>
      <c r="C127" s="152">
        <v>2000000</v>
      </c>
      <c r="D127" s="236">
        <v>2000000</v>
      </c>
      <c r="E127" s="88"/>
    </row>
    <row r="128" spans="1:5" ht="12" customHeight="1">
      <c r="A128" s="181" t="s">
        <v>268</v>
      </c>
      <c r="B128" s="58" t="s">
        <v>273</v>
      </c>
      <c r="C128" s="152"/>
      <c r="D128" s="236"/>
      <c r="E128" s="88"/>
    </row>
    <row r="129" spans="1:5" ht="12" customHeight="1" thickBot="1">
      <c r="A129" s="190" t="s">
        <v>269</v>
      </c>
      <c r="B129" s="58" t="s">
        <v>272</v>
      </c>
      <c r="C129" s="154"/>
      <c r="D129" s="237"/>
      <c r="E129" s="90"/>
    </row>
    <row r="130" spans="1:5" ht="12" customHeight="1" thickBot="1">
      <c r="A130" s="24" t="s">
        <v>8</v>
      </c>
      <c r="B130" s="51" t="s">
        <v>348</v>
      </c>
      <c r="C130" s="151">
        <f>+C95+C116</f>
        <v>3509185</v>
      </c>
      <c r="D130" s="234">
        <f>+D95+D116</f>
        <v>3509185</v>
      </c>
      <c r="E130" s="87">
        <f>+E95+E116</f>
        <v>1129801</v>
      </c>
    </row>
    <row r="131" spans="1:5" ht="12" customHeight="1" thickBot="1">
      <c r="A131" s="24" t="s">
        <v>9</v>
      </c>
      <c r="B131" s="51" t="s">
        <v>349</v>
      </c>
      <c r="C131" s="151">
        <f>+C132+C133+C134</f>
        <v>0</v>
      </c>
      <c r="D131" s="234">
        <f>+D132+D133+D134</f>
        <v>0</v>
      </c>
      <c r="E131" s="87">
        <f>+E132+E133+E134</f>
        <v>0</v>
      </c>
    </row>
    <row r="132" spans="1:5" s="48" customFormat="1" ht="12" customHeight="1">
      <c r="A132" s="181" t="s">
        <v>174</v>
      </c>
      <c r="B132" s="7" t="s">
        <v>403</v>
      </c>
      <c r="C132" s="152"/>
      <c r="D132" s="236"/>
      <c r="E132" s="88"/>
    </row>
    <row r="133" spans="1:5" ht="12" customHeight="1">
      <c r="A133" s="181" t="s">
        <v>175</v>
      </c>
      <c r="B133" s="7" t="s">
        <v>357</v>
      </c>
      <c r="C133" s="152"/>
      <c r="D133" s="236"/>
      <c r="E133" s="88"/>
    </row>
    <row r="134" spans="1:5" ht="12" customHeight="1" thickBot="1">
      <c r="A134" s="190" t="s">
        <v>176</v>
      </c>
      <c r="B134" s="5" t="s">
        <v>402</v>
      </c>
      <c r="C134" s="152"/>
      <c r="D134" s="236"/>
      <c r="E134" s="88"/>
    </row>
    <row r="135" spans="1:5" ht="12" customHeight="1" thickBot="1">
      <c r="A135" s="24" t="s">
        <v>10</v>
      </c>
      <c r="B135" s="51" t="s">
        <v>350</v>
      </c>
      <c r="C135" s="151">
        <f>+C136+C137+C138+C139+C140+C141</f>
        <v>0</v>
      </c>
      <c r="D135" s="234">
        <f>+D136+D137+D138+D139+D140+D141</f>
        <v>0</v>
      </c>
      <c r="E135" s="87">
        <f>+E136+E137+E138+E139+E140+E141</f>
        <v>0</v>
      </c>
    </row>
    <row r="136" spans="1:5" ht="12" customHeight="1">
      <c r="A136" s="181" t="s">
        <v>56</v>
      </c>
      <c r="B136" s="7" t="s">
        <v>359</v>
      </c>
      <c r="C136" s="152"/>
      <c r="D136" s="236"/>
      <c r="E136" s="88"/>
    </row>
    <row r="137" spans="1:5" ht="12" customHeight="1">
      <c r="A137" s="181" t="s">
        <v>57</v>
      </c>
      <c r="B137" s="7" t="s">
        <v>351</v>
      </c>
      <c r="C137" s="152"/>
      <c r="D137" s="236"/>
      <c r="E137" s="88"/>
    </row>
    <row r="138" spans="1:5" ht="12" customHeight="1">
      <c r="A138" s="181" t="s">
        <v>58</v>
      </c>
      <c r="B138" s="7" t="s">
        <v>352</v>
      </c>
      <c r="C138" s="152"/>
      <c r="D138" s="236"/>
      <c r="E138" s="88"/>
    </row>
    <row r="139" spans="1:5" ht="12" customHeight="1">
      <c r="A139" s="181" t="s">
        <v>115</v>
      </c>
      <c r="B139" s="7" t="s">
        <v>401</v>
      </c>
      <c r="C139" s="152"/>
      <c r="D139" s="236"/>
      <c r="E139" s="88"/>
    </row>
    <row r="140" spans="1:5" ht="12" customHeight="1">
      <c r="A140" s="181" t="s">
        <v>116</v>
      </c>
      <c r="B140" s="7" t="s">
        <v>354</v>
      </c>
      <c r="C140" s="152"/>
      <c r="D140" s="236"/>
      <c r="E140" s="88"/>
    </row>
    <row r="141" spans="1:5" s="48" customFormat="1" ht="12" customHeight="1" thickBot="1">
      <c r="A141" s="190" t="s">
        <v>117</v>
      </c>
      <c r="B141" s="5" t="s">
        <v>355</v>
      </c>
      <c r="C141" s="152"/>
      <c r="D141" s="236"/>
      <c r="E141" s="88"/>
    </row>
    <row r="142" spans="1:5" ht="12" customHeight="1" thickBot="1">
      <c r="A142" s="24" t="s">
        <v>11</v>
      </c>
      <c r="B142" s="51" t="s">
        <v>416</v>
      </c>
      <c r="C142" s="157">
        <f>+C143+C144+C146+C147+C145</f>
        <v>20546706</v>
      </c>
      <c r="D142" s="238">
        <f>+D143+D144+D146+D147+D145</f>
        <v>20546706</v>
      </c>
      <c r="E142" s="193">
        <f>+E143+E144+E146+E147+E145</f>
        <v>20546706</v>
      </c>
    </row>
    <row r="143" spans="1:5" ht="12.75">
      <c r="A143" s="181" t="s">
        <v>59</v>
      </c>
      <c r="B143" s="7" t="s">
        <v>277</v>
      </c>
      <c r="C143" s="152"/>
      <c r="D143" s="236"/>
      <c r="E143" s="88"/>
    </row>
    <row r="144" spans="1:5" ht="12" customHeight="1">
      <c r="A144" s="181" t="s">
        <v>60</v>
      </c>
      <c r="B144" s="7" t="s">
        <v>278</v>
      </c>
      <c r="C144" s="152"/>
      <c r="D144" s="236"/>
      <c r="E144" s="88"/>
    </row>
    <row r="145" spans="1:5" ht="12" customHeight="1">
      <c r="A145" s="181" t="s">
        <v>194</v>
      </c>
      <c r="B145" s="7" t="s">
        <v>415</v>
      </c>
      <c r="C145" s="152">
        <v>20546706</v>
      </c>
      <c r="D145" s="236">
        <v>20546706</v>
      </c>
      <c r="E145" s="88">
        <v>20546706</v>
      </c>
    </row>
    <row r="146" spans="1:5" s="48" customFormat="1" ht="12" customHeight="1">
      <c r="A146" s="181" t="s">
        <v>195</v>
      </c>
      <c r="B146" s="7" t="s">
        <v>364</v>
      </c>
      <c r="C146" s="152"/>
      <c r="D146" s="236"/>
      <c r="E146" s="88"/>
    </row>
    <row r="147" spans="1:5" s="48" customFormat="1" ht="12" customHeight="1" thickBot="1">
      <c r="A147" s="190" t="s">
        <v>196</v>
      </c>
      <c r="B147" s="5" t="s">
        <v>294</v>
      </c>
      <c r="C147" s="152"/>
      <c r="D147" s="236"/>
      <c r="E147" s="88"/>
    </row>
    <row r="148" spans="1:5" s="48" customFormat="1" ht="12" customHeight="1" thickBot="1">
      <c r="A148" s="24" t="s">
        <v>12</v>
      </c>
      <c r="B148" s="51" t="s">
        <v>365</v>
      </c>
      <c r="C148" s="227">
        <f>+C149+C150+C151+C152+C153</f>
        <v>0</v>
      </c>
      <c r="D148" s="239">
        <f>+D149+D150+D151+D152+D153</f>
        <v>0</v>
      </c>
      <c r="E148" s="221">
        <f>+E149+E150+E151+E152+E153</f>
        <v>0</v>
      </c>
    </row>
    <row r="149" spans="1:5" s="48" customFormat="1" ht="12" customHeight="1">
      <c r="A149" s="181" t="s">
        <v>61</v>
      </c>
      <c r="B149" s="7" t="s">
        <v>360</v>
      </c>
      <c r="C149" s="152"/>
      <c r="D149" s="236"/>
      <c r="E149" s="88"/>
    </row>
    <row r="150" spans="1:5" s="48" customFormat="1" ht="12" customHeight="1">
      <c r="A150" s="181" t="s">
        <v>62</v>
      </c>
      <c r="B150" s="7" t="s">
        <v>367</v>
      </c>
      <c r="C150" s="152"/>
      <c r="D150" s="236"/>
      <c r="E150" s="88"/>
    </row>
    <row r="151" spans="1:5" s="48" customFormat="1" ht="12" customHeight="1">
      <c r="A151" s="181" t="s">
        <v>206</v>
      </c>
      <c r="B151" s="7" t="s">
        <v>362</v>
      </c>
      <c r="C151" s="152"/>
      <c r="D151" s="236"/>
      <c r="E151" s="88"/>
    </row>
    <row r="152" spans="1:5" s="48" customFormat="1" ht="12" customHeight="1">
      <c r="A152" s="181" t="s">
        <v>207</v>
      </c>
      <c r="B152" s="7" t="s">
        <v>404</v>
      </c>
      <c r="C152" s="152"/>
      <c r="D152" s="236"/>
      <c r="E152" s="88"/>
    </row>
    <row r="153" spans="1:5" ht="12.75" customHeight="1" thickBot="1">
      <c r="A153" s="190" t="s">
        <v>366</v>
      </c>
      <c r="B153" s="5" t="s">
        <v>369</v>
      </c>
      <c r="C153" s="154"/>
      <c r="D153" s="237"/>
      <c r="E153" s="90"/>
    </row>
    <row r="154" spans="1:5" ht="12.75" customHeight="1" thickBot="1">
      <c r="A154" s="216" t="s">
        <v>13</v>
      </c>
      <c r="B154" s="51" t="s">
        <v>370</v>
      </c>
      <c r="C154" s="227"/>
      <c r="D154" s="239"/>
      <c r="E154" s="221"/>
    </row>
    <row r="155" spans="1:5" ht="12.75" customHeight="1" thickBot="1">
      <c r="A155" s="216" t="s">
        <v>14</v>
      </c>
      <c r="B155" s="51" t="s">
        <v>371</v>
      </c>
      <c r="C155" s="227"/>
      <c r="D155" s="239"/>
      <c r="E155" s="221"/>
    </row>
    <row r="156" spans="1:5" ht="12" customHeight="1" thickBot="1">
      <c r="A156" s="24" t="s">
        <v>15</v>
      </c>
      <c r="B156" s="51" t="s">
        <v>373</v>
      </c>
      <c r="C156" s="229">
        <f>+C131+C135+C142+C148+C154+C155</f>
        <v>20546706</v>
      </c>
      <c r="D156" s="241">
        <f>+D131+D135+D142+D148+D154+D155</f>
        <v>20546706</v>
      </c>
      <c r="E156" s="223">
        <f>+E131+E135+E142+E148+E154+E155</f>
        <v>20546706</v>
      </c>
    </row>
    <row r="157" spans="1:5" ht="15" customHeight="1" thickBot="1">
      <c r="A157" s="192" t="s">
        <v>16</v>
      </c>
      <c r="B157" s="138" t="s">
        <v>372</v>
      </c>
      <c r="C157" s="229">
        <f>+C130+C156</f>
        <v>24055891</v>
      </c>
      <c r="D157" s="241">
        <f>+D130+D156</f>
        <v>24055891</v>
      </c>
      <c r="E157" s="223">
        <f>+E130+E156</f>
        <v>21676507</v>
      </c>
    </row>
    <row r="158" spans="1:5" ht="13.5" thickBot="1">
      <c r="A158" s="141"/>
      <c r="B158" s="142"/>
      <c r="C158" s="546">
        <f>C92-C157</f>
        <v>0</v>
      </c>
      <c r="D158" s="546">
        <f>D92-D157</f>
        <v>6461735</v>
      </c>
      <c r="E158" s="546"/>
    </row>
    <row r="159" spans="1:5" ht="15" customHeight="1" thickBot="1">
      <c r="A159" s="311" t="s">
        <v>488</v>
      </c>
      <c r="B159" s="312"/>
      <c r="C159" s="300">
        <v>0</v>
      </c>
      <c r="D159" s="300">
        <v>0</v>
      </c>
      <c r="E159" s="299">
        <v>0</v>
      </c>
    </row>
    <row r="160" spans="1:5" ht="14.25" customHeight="1" thickBot="1">
      <c r="A160" s="313" t="s">
        <v>489</v>
      </c>
      <c r="B160" s="314"/>
      <c r="C160" s="300">
        <v>0</v>
      </c>
      <c r="D160" s="300">
        <v>0</v>
      </c>
      <c r="E160" s="299">
        <v>0</v>
      </c>
    </row>
  </sheetData>
  <sheetProtection formatCells="0"/>
  <mergeCells count="4">
    <mergeCell ref="B2:D2"/>
    <mergeCell ref="B3:D3"/>
    <mergeCell ref="A7:E7"/>
    <mergeCell ref="A94:E9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rowBreaks count="1" manualBreakCount="1">
    <brk id="9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158"/>
  <sheetViews>
    <sheetView view="pageBreakPreview" zoomScaleNormal="120" zoomScaleSheetLayoutView="100" workbookViewId="0" topLeftCell="A1">
      <selection activeCell="M36" sqref="M36"/>
    </sheetView>
  </sheetViews>
  <sheetFormatPr defaultColWidth="9.00390625" defaultRowHeight="12.75"/>
  <cols>
    <col min="1" max="1" width="16.125" style="144" customWidth="1"/>
    <col min="2" max="2" width="62.00390625" style="145" customWidth="1"/>
    <col min="3" max="3" width="14.125" style="146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58"/>
      <c r="B1" s="895" t="str">
        <f>CONCATENATE("13. melléklet ",Z_ALAPADATOK!A7," ",Z_ALAPADATOK!B7," ",Z_ALAPADATOK!C7," ",Z_ALAPADATOK!D7," ",Z_ALAPADATOK!E7," ",Z_ALAPADATOK!F7," ",Z_ALAPADATOK!G7," ",Z_ALAPADATOK!H7)</f>
        <v>13. melléklet a 3 / 2022. ( V. 26. ) önkormányzati rendelethez</v>
      </c>
      <c r="C1" s="896"/>
      <c r="D1" s="896"/>
      <c r="E1" s="896"/>
    </row>
    <row r="2" spans="1:5" s="44" customFormat="1" ht="21" customHeight="1" thickBot="1">
      <c r="A2" s="367" t="s">
        <v>45</v>
      </c>
      <c r="B2" s="894" t="str">
        <f>CONCATENATE(Z_ALAPADATOK!A3)</f>
        <v>Balatonvilágos Község Önkormányzata</v>
      </c>
      <c r="C2" s="894"/>
      <c r="D2" s="894"/>
      <c r="E2" s="368" t="s">
        <v>39</v>
      </c>
    </row>
    <row r="3" spans="1:5" s="44" customFormat="1" ht="24.75" thickBot="1">
      <c r="A3" s="367" t="s">
        <v>136</v>
      </c>
      <c r="B3" s="894" t="s">
        <v>414</v>
      </c>
      <c r="C3" s="894"/>
      <c r="D3" s="894"/>
      <c r="E3" s="369" t="s">
        <v>43</v>
      </c>
    </row>
    <row r="4" spans="1:5" s="45" customFormat="1" ht="15.75" customHeight="1" thickBot="1">
      <c r="A4" s="361"/>
      <c r="B4" s="361"/>
      <c r="C4" s="362"/>
      <c r="D4" s="363"/>
      <c r="E4" s="362" t="str">
        <f>'12'!E4</f>
        <v> Forintban!</v>
      </c>
    </row>
    <row r="5" spans="1:5" ht="24.75" thickBot="1">
      <c r="A5" s="364" t="s">
        <v>137</v>
      </c>
      <c r="B5" s="365" t="s">
        <v>487</v>
      </c>
      <c r="C5" s="365" t="s">
        <v>453</v>
      </c>
      <c r="D5" s="366" t="s">
        <v>454</v>
      </c>
      <c r="E5" s="347" t="str">
        <f>CONCATENATE('12'!E5)</f>
        <v>Teljesítés
2021. XII. 31.</v>
      </c>
    </row>
    <row r="6" spans="1:5" s="40" customFormat="1" ht="12.75" customHeight="1" thickBot="1">
      <c r="A6" s="66" t="s">
        <v>384</v>
      </c>
      <c r="B6" s="67" t="s">
        <v>385</v>
      </c>
      <c r="C6" s="67" t="s">
        <v>386</v>
      </c>
      <c r="D6" s="294" t="s">
        <v>388</v>
      </c>
      <c r="E6" s="68" t="s">
        <v>387</v>
      </c>
    </row>
    <row r="7" spans="1:5" s="40" customFormat="1" ht="15.75" customHeight="1" thickBot="1">
      <c r="A7" s="891" t="s">
        <v>40</v>
      </c>
      <c r="B7" s="892"/>
      <c r="C7" s="892"/>
      <c r="D7" s="892"/>
      <c r="E7" s="893"/>
    </row>
    <row r="8" spans="1:5" s="40" customFormat="1" ht="12" customHeight="1" thickBot="1">
      <c r="A8" s="24" t="s">
        <v>6</v>
      </c>
      <c r="B8" s="19" t="s">
        <v>159</v>
      </c>
      <c r="C8" s="151">
        <f>+C9+C10+C11+C12+C13+C14</f>
        <v>0</v>
      </c>
      <c r="D8" s="234">
        <f>+D9+D10+D11+D12+D13+D14</f>
        <v>0</v>
      </c>
      <c r="E8" s="87">
        <f>+E9+E10+E11+E12+E13+E14</f>
        <v>0</v>
      </c>
    </row>
    <row r="9" spans="1:5" s="46" customFormat="1" ht="12" customHeight="1">
      <c r="A9" s="181" t="s">
        <v>63</v>
      </c>
      <c r="B9" s="164" t="s">
        <v>160</v>
      </c>
      <c r="C9" s="153"/>
      <c r="D9" s="235"/>
      <c r="E9" s="89"/>
    </row>
    <row r="10" spans="1:5" s="47" customFormat="1" ht="12" customHeight="1">
      <c r="A10" s="182" t="s">
        <v>64</v>
      </c>
      <c r="B10" s="165" t="s">
        <v>161</v>
      </c>
      <c r="C10" s="152"/>
      <c r="D10" s="236"/>
      <c r="E10" s="88"/>
    </row>
    <row r="11" spans="1:5" s="47" customFormat="1" ht="12" customHeight="1">
      <c r="A11" s="182" t="s">
        <v>65</v>
      </c>
      <c r="B11" s="165" t="s">
        <v>162</v>
      </c>
      <c r="C11" s="152"/>
      <c r="D11" s="236"/>
      <c r="E11" s="88"/>
    </row>
    <row r="12" spans="1:5" s="47" customFormat="1" ht="12" customHeight="1">
      <c r="A12" s="182" t="s">
        <v>66</v>
      </c>
      <c r="B12" s="165" t="s">
        <v>163</v>
      </c>
      <c r="C12" s="152"/>
      <c r="D12" s="236"/>
      <c r="E12" s="88"/>
    </row>
    <row r="13" spans="1:5" s="47" customFormat="1" ht="12" customHeight="1">
      <c r="A13" s="182" t="s">
        <v>98</v>
      </c>
      <c r="B13" s="165" t="s">
        <v>392</v>
      </c>
      <c r="C13" s="152"/>
      <c r="D13" s="236"/>
      <c r="E13" s="88"/>
    </row>
    <row r="14" spans="1:5" s="46" customFormat="1" ht="12" customHeight="1" thickBot="1">
      <c r="A14" s="183" t="s">
        <v>67</v>
      </c>
      <c r="B14" s="166" t="s">
        <v>333</v>
      </c>
      <c r="C14" s="152"/>
      <c r="D14" s="236"/>
      <c r="E14" s="88"/>
    </row>
    <row r="15" spans="1:5" s="46" customFormat="1" ht="12" customHeight="1" thickBot="1">
      <c r="A15" s="24" t="s">
        <v>7</v>
      </c>
      <c r="B15" s="94" t="s">
        <v>164</v>
      </c>
      <c r="C15" s="151">
        <f>+C16+C17+C18+C19+C20</f>
        <v>0</v>
      </c>
      <c r="D15" s="234">
        <f>+D16+D17+D18+D19+D20</f>
        <v>0</v>
      </c>
      <c r="E15" s="87">
        <f>+E16+E17+E18+E19+E20</f>
        <v>0</v>
      </c>
    </row>
    <row r="16" spans="1:5" s="46" customFormat="1" ht="12" customHeight="1">
      <c r="A16" s="181" t="s">
        <v>69</v>
      </c>
      <c r="B16" s="164" t="s">
        <v>165</v>
      </c>
      <c r="C16" s="153"/>
      <c r="D16" s="235"/>
      <c r="E16" s="89"/>
    </row>
    <row r="17" spans="1:5" s="46" customFormat="1" ht="12" customHeight="1">
      <c r="A17" s="182" t="s">
        <v>70</v>
      </c>
      <c r="B17" s="165" t="s">
        <v>166</v>
      </c>
      <c r="C17" s="152"/>
      <c r="D17" s="236"/>
      <c r="E17" s="88"/>
    </row>
    <row r="18" spans="1:5" s="46" customFormat="1" ht="12" customHeight="1">
      <c r="A18" s="182" t="s">
        <v>71</v>
      </c>
      <c r="B18" s="165" t="s">
        <v>324</v>
      </c>
      <c r="C18" s="152"/>
      <c r="D18" s="236"/>
      <c r="E18" s="88"/>
    </row>
    <row r="19" spans="1:5" s="46" customFormat="1" ht="12" customHeight="1">
      <c r="A19" s="182" t="s">
        <v>72</v>
      </c>
      <c r="B19" s="165" t="s">
        <v>325</v>
      </c>
      <c r="C19" s="152"/>
      <c r="D19" s="236"/>
      <c r="E19" s="88"/>
    </row>
    <row r="20" spans="1:5" s="46" customFormat="1" ht="12" customHeight="1">
      <c r="A20" s="182" t="s">
        <v>73</v>
      </c>
      <c r="B20" s="165" t="s">
        <v>167</v>
      </c>
      <c r="C20" s="152"/>
      <c r="D20" s="236"/>
      <c r="E20" s="88"/>
    </row>
    <row r="21" spans="1:5" s="47" customFormat="1" ht="12" customHeight="1" thickBot="1">
      <c r="A21" s="183" t="s">
        <v>80</v>
      </c>
      <c r="B21" s="166" t="s">
        <v>168</v>
      </c>
      <c r="C21" s="154"/>
      <c r="D21" s="237"/>
      <c r="E21" s="90"/>
    </row>
    <row r="22" spans="1:5" s="47" customFormat="1" ht="12" customHeight="1" thickBot="1">
      <c r="A22" s="24" t="s">
        <v>8</v>
      </c>
      <c r="B22" s="19" t="s">
        <v>169</v>
      </c>
      <c r="C22" s="151">
        <f>+C23+C24+C25+C26+C27</f>
        <v>0</v>
      </c>
      <c r="D22" s="234">
        <f>+D23+D24+D25+D26+D27</f>
        <v>0</v>
      </c>
      <c r="E22" s="87">
        <f>+E23+E24+E25+E26+E27</f>
        <v>0</v>
      </c>
    </row>
    <row r="23" spans="1:5" s="47" customFormat="1" ht="12" customHeight="1">
      <c r="A23" s="181" t="s">
        <v>52</v>
      </c>
      <c r="B23" s="164" t="s">
        <v>170</v>
      </c>
      <c r="C23" s="153"/>
      <c r="D23" s="235"/>
      <c r="E23" s="89"/>
    </row>
    <row r="24" spans="1:5" s="46" customFormat="1" ht="12" customHeight="1">
      <c r="A24" s="182" t="s">
        <v>53</v>
      </c>
      <c r="B24" s="165" t="s">
        <v>171</v>
      </c>
      <c r="C24" s="152"/>
      <c r="D24" s="236"/>
      <c r="E24" s="88"/>
    </row>
    <row r="25" spans="1:5" s="47" customFormat="1" ht="12" customHeight="1">
      <c r="A25" s="182" t="s">
        <v>54</v>
      </c>
      <c r="B25" s="165" t="s">
        <v>326</v>
      </c>
      <c r="C25" s="152"/>
      <c r="D25" s="236"/>
      <c r="E25" s="88"/>
    </row>
    <row r="26" spans="1:5" s="47" customFormat="1" ht="12" customHeight="1">
      <c r="A26" s="182" t="s">
        <v>55</v>
      </c>
      <c r="B26" s="165" t="s">
        <v>327</v>
      </c>
      <c r="C26" s="152"/>
      <c r="D26" s="236"/>
      <c r="E26" s="88"/>
    </row>
    <row r="27" spans="1:5" s="47" customFormat="1" ht="12" customHeight="1">
      <c r="A27" s="182" t="s">
        <v>111</v>
      </c>
      <c r="B27" s="165" t="s">
        <v>172</v>
      </c>
      <c r="C27" s="152"/>
      <c r="D27" s="236"/>
      <c r="E27" s="88"/>
    </row>
    <row r="28" spans="1:5" s="47" customFormat="1" ht="12" customHeight="1" thickBot="1">
      <c r="A28" s="183" t="s">
        <v>112</v>
      </c>
      <c r="B28" s="166" t="s">
        <v>173</v>
      </c>
      <c r="C28" s="154"/>
      <c r="D28" s="237"/>
      <c r="E28" s="90"/>
    </row>
    <row r="29" spans="1:5" s="47" customFormat="1" ht="12" customHeight="1" thickBot="1">
      <c r="A29" s="24" t="s">
        <v>113</v>
      </c>
      <c r="B29" s="19" t="s">
        <v>478</v>
      </c>
      <c r="C29" s="157">
        <f>SUM(C30:C36)</f>
        <v>0</v>
      </c>
      <c r="D29" s="157">
        <f>SUM(D30:D36)</f>
        <v>0</v>
      </c>
      <c r="E29" s="193">
        <f>SUM(E30:E36)</f>
        <v>0</v>
      </c>
    </row>
    <row r="30" spans="1:5" s="47" customFormat="1" ht="12" customHeight="1">
      <c r="A30" s="181" t="s">
        <v>174</v>
      </c>
      <c r="B30" s="164" t="s">
        <v>479</v>
      </c>
      <c r="C30" s="153">
        <f>+C31+C32+C33</f>
        <v>0</v>
      </c>
      <c r="D30" s="153">
        <f>+D31+D32+D33</f>
        <v>0</v>
      </c>
      <c r="E30" s="89">
        <f>+E31+E32+E33</f>
        <v>0</v>
      </c>
    </row>
    <row r="31" spans="1:5" s="47" customFormat="1" ht="12" customHeight="1">
      <c r="A31" s="182" t="s">
        <v>175</v>
      </c>
      <c r="B31" s="165" t="s">
        <v>480</v>
      </c>
      <c r="C31" s="152"/>
      <c r="D31" s="152"/>
      <c r="E31" s="88"/>
    </row>
    <row r="32" spans="1:5" s="47" customFormat="1" ht="12" customHeight="1">
      <c r="A32" s="182" t="s">
        <v>176</v>
      </c>
      <c r="B32" s="165" t="s">
        <v>481</v>
      </c>
      <c r="C32" s="152"/>
      <c r="D32" s="152"/>
      <c r="E32" s="88"/>
    </row>
    <row r="33" spans="1:5" s="47" customFormat="1" ht="12" customHeight="1">
      <c r="A33" s="182" t="s">
        <v>177</v>
      </c>
      <c r="B33" s="165" t="s">
        <v>482</v>
      </c>
      <c r="C33" s="152"/>
      <c r="D33" s="152"/>
      <c r="E33" s="88"/>
    </row>
    <row r="34" spans="1:5" s="47" customFormat="1" ht="12" customHeight="1">
      <c r="A34" s="182" t="s">
        <v>483</v>
      </c>
      <c r="B34" s="165" t="s">
        <v>178</v>
      </c>
      <c r="C34" s="152"/>
      <c r="D34" s="152"/>
      <c r="E34" s="88"/>
    </row>
    <row r="35" spans="1:5" s="47" customFormat="1" ht="12" customHeight="1">
      <c r="A35" s="182" t="s">
        <v>484</v>
      </c>
      <c r="B35" s="165" t="s">
        <v>179</v>
      </c>
      <c r="C35" s="152"/>
      <c r="D35" s="152"/>
      <c r="E35" s="88"/>
    </row>
    <row r="36" spans="1:5" s="47" customFormat="1" ht="12" customHeight="1" thickBot="1">
      <c r="A36" s="183" t="s">
        <v>485</v>
      </c>
      <c r="B36" s="310" t="s">
        <v>180</v>
      </c>
      <c r="C36" s="154"/>
      <c r="D36" s="154"/>
      <c r="E36" s="90"/>
    </row>
    <row r="37" spans="1:5" s="47" customFormat="1" ht="12" customHeight="1" thickBot="1">
      <c r="A37" s="24" t="s">
        <v>10</v>
      </c>
      <c r="B37" s="19" t="s">
        <v>334</v>
      </c>
      <c r="C37" s="151">
        <f>SUM(C38:C48)</f>
        <v>0</v>
      </c>
      <c r="D37" s="234">
        <f>SUM(D38:D48)</f>
        <v>0</v>
      </c>
      <c r="E37" s="87">
        <f>SUM(E38:E48)</f>
        <v>0</v>
      </c>
    </row>
    <row r="38" spans="1:5" s="47" customFormat="1" ht="12" customHeight="1">
      <c r="A38" s="181" t="s">
        <v>56</v>
      </c>
      <c r="B38" s="164" t="s">
        <v>183</v>
      </c>
      <c r="C38" s="153"/>
      <c r="D38" s="235"/>
      <c r="E38" s="89"/>
    </row>
    <row r="39" spans="1:5" s="47" customFormat="1" ht="12" customHeight="1">
      <c r="A39" s="182" t="s">
        <v>57</v>
      </c>
      <c r="B39" s="165" t="s">
        <v>184</v>
      </c>
      <c r="C39" s="152"/>
      <c r="D39" s="236"/>
      <c r="E39" s="88"/>
    </row>
    <row r="40" spans="1:5" s="47" customFormat="1" ht="12" customHeight="1">
      <c r="A40" s="182" t="s">
        <v>58</v>
      </c>
      <c r="B40" s="165" t="s">
        <v>185</v>
      </c>
      <c r="C40" s="152"/>
      <c r="D40" s="236"/>
      <c r="E40" s="88"/>
    </row>
    <row r="41" spans="1:5" s="47" customFormat="1" ht="12" customHeight="1">
      <c r="A41" s="182" t="s">
        <v>115</v>
      </c>
      <c r="B41" s="165" t="s">
        <v>186</v>
      </c>
      <c r="C41" s="152"/>
      <c r="D41" s="236"/>
      <c r="E41" s="88"/>
    </row>
    <row r="42" spans="1:5" s="47" customFormat="1" ht="12" customHeight="1">
      <c r="A42" s="182" t="s">
        <v>116</v>
      </c>
      <c r="B42" s="165" t="s">
        <v>187</v>
      </c>
      <c r="C42" s="152"/>
      <c r="D42" s="236"/>
      <c r="E42" s="88"/>
    </row>
    <row r="43" spans="1:5" s="47" customFormat="1" ht="12" customHeight="1">
      <c r="A43" s="182" t="s">
        <v>117</v>
      </c>
      <c r="B43" s="165" t="s">
        <v>188</v>
      </c>
      <c r="C43" s="152"/>
      <c r="D43" s="236"/>
      <c r="E43" s="88"/>
    </row>
    <row r="44" spans="1:5" s="47" customFormat="1" ht="12" customHeight="1">
      <c r="A44" s="182" t="s">
        <v>118</v>
      </c>
      <c r="B44" s="165" t="s">
        <v>189</v>
      </c>
      <c r="C44" s="152"/>
      <c r="D44" s="236"/>
      <c r="E44" s="88"/>
    </row>
    <row r="45" spans="1:5" s="47" customFormat="1" ht="12" customHeight="1">
      <c r="A45" s="182" t="s">
        <v>119</v>
      </c>
      <c r="B45" s="165" t="s">
        <v>486</v>
      </c>
      <c r="C45" s="152"/>
      <c r="D45" s="236"/>
      <c r="E45" s="88"/>
    </row>
    <row r="46" spans="1:5" s="47" customFormat="1" ht="12" customHeight="1">
      <c r="A46" s="182" t="s">
        <v>181</v>
      </c>
      <c r="B46" s="165" t="s">
        <v>191</v>
      </c>
      <c r="C46" s="155"/>
      <c r="D46" s="295"/>
      <c r="E46" s="91"/>
    </row>
    <row r="47" spans="1:5" s="47" customFormat="1" ht="12" customHeight="1">
      <c r="A47" s="183" t="s">
        <v>182</v>
      </c>
      <c r="B47" s="166" t="s">
        <v>336</v>
      </c>
      <c r="C47" s="156"/>
      <c r="D47" s="296"/>
      <c r="E47" s="92"/>
    </row>
    <row r="48" spans="1:5" s="47" customFormat="1" ht="12" customHeight="1" thickBot="1">
      <c r="A48" s="183" t="s">
        <v>335</v>
      </c>
      <c r="B48" s="166" t="s">
        <v>192</v>
      </c>
      <c r="C48" s="156"/>
      <c r="D48" s="296"/>
      <c r="E48" s="92"/>
    </row>
    <row r="49" spans="1:5" s="47" customFormat="1" ht="12" customHeight="1" thickBot="1">
      <c r="A49" s="24" t="s">
        <v>11</v>
      </c>
      <c r="B49" s="19" t="s">
        <v>193</v>
      </c>
      <c r="C49" s="151">
        <f>SUM(C50:C54)</f>
        <v>0</v>
      </c>
      <c r="D49" s="234">
        <f>SUM(D50:D54)</f>
        <v>0</v>
      </c>
      <c r="E49" s="87">
        <f>SUM(E50:E54)</f>
        <v>0</v>
      </c>
    </row>
    <row r="50" spans="1:5" s="47" customFormat="1" ht="12" customHeight="1">
      <c r="A50" s="181" t="s">
        <v>59</v>
      </c>
      <c r="B50" s="164" t="s">
        <v>197</v>
      </c>
      <c r="C50" s="204"/>
      <c r="D50" s="297"/>
      <c r="E50" s="93"/>
    </row>
    <row r="51" spans="1:5" s="47" customFormat="1" ht="12" customHeight="1">
      <c r="A51" s="182" t="s">
        <v>60</v>
      </c>
      <c r="B51" s="165" t="s">
        <v>198</v>
      </c>
      <c r="C51" s="155"/>
      <c r="D51" s="295"/>
      <c r="E51" s="91"/>
    </row>
    <row r="52" spans="1:5" s="47" customFormat="1" ht="12" customHeight="1">
      <c r="A52" s="182" t="s">
        <v>194</v>
      </c>
      <c r="B52" s="165" t="s">
        <v>199</v>
      </c>
      <c r="C52" s="155"/>
      <c r="D52" s="295"/>
      <c r="E52" s="91"/>
    </row>
    <row r="53" spans="1:5" s="47" customFormat="1" ht="12" customHeight="1">
      <c r="A53" s="182" t="s">
        <v>195</v>
      </c>
      <c r="B53" s="165" t="s">
        <v>200</v>
      </c>
      <c r="C53" s="155"/>
      <c r="D53" s="295"/>
      <c r="E53" s="91"/>
    </row>
    <row r="54" spans="1:5" s="47" customFormat="1" ht="12" customHeight="1" thickBot="1">
      <c r="A54" s="183" t="s">
        <v>196</v>
      </c>
      <c r="B54" s="166" t="s">
        <v>201</v>
      </c>
      <c r="C54" s="156"/>
      <c r="D54" s="296"/>
      <c r="E54" s="92"/>
    </row>
    <row r="55" spans="1:5" s="47" customFormat="1" ht="12" customHeight="1" thickBot="1">
      <c r="A55" s="24" t="s">
        <v>120</v>
      </c>
      <c r="B55" s="19" t="s">
        <v>202</v>
      </c>
      <c r="C55" s="151">
        <f>SUM(C56:C58)</f>
        <v>0</v>
      </c>
      <c r="D55" s="234">
        <f>SUM(D56:D58)</f>
        <v>0</v>
      </c>
      <c r="E55" s="87">
        <f>SUM(E56:E58)</f>
        <v>0</v>
      </c>
    </row>
    <row r="56" spans="1:5" s="47" customFormat="1" ht="12" customHeight="1">
      <c r="A56" s="181" t="s">
        <v>61</v>
      </c>
      <c r="B56" s="164" t="s">
        <v>203</v>
      </c>
      <c r="C56" s="153"/>
      <c r="D56" s="235"/>
      <c r="E56" s="89"/>
    </row>
    <row r="57" spans="1:5" s="47" customFormat="1" ht="12" customHeight="1">
      <c r="A57" s="182" t="s">
        <v>62</v>
      </c>
      <c r="B57" s="165" t="s">
        <v>328</v>
      </c>
      <c r="C57" s="152"/>
      <c r="D57" s="236"/>
      <c r="E57" s="88"/>
    </row>
    <row r="58" spans="1:5" s="47" customFormat="1" ht="12" customHeight="1">
      <c r="A58" s="182" t="s">
        <v>206</v>
      </c>
      <c r="B58" s="165" t="s">
        <v>204</v>
      </c>
      <c r="C58" s="152"/>
      <c r="D58" s="236"/>
      <c r="E58" s="88"/>
    </row>
    <row r="59" spans="1:5" s="47" customFormat="1" ht="12" customHeight="1" thickBot="1">
      <c r="A59" s="183" t="s">
        <v>207</v>
      </c>
      <c r="B59" s="166" t="s">
        <v>205</v>
      </c>
      <c r="C59" s="154"/>
      <c r="D59" s="237"/>
      <c r="E59" s="90"/>
    </row>
    <row r="60" spans="1:5" s="47" customFormat="1" ht="12" customHeight="1" thickBot="1">
      <c r="A60" s="24" t="s">
        <v>13</v>
      </c>
      <c r="B60" s="94" t="s">
        <v>208</v>
      </c>
      <c r="C60" s="151">
        <f>SUM(C61:C63)</f>
        <v>0</v>
      </c>
      <c r="D60" s="234">
        <f>SUM(D61:D63)</f>
        <v>0</v>
      </c>
      <c r="E60" s="87">
        <f>SUM(E61:E63)</f>
        <v>0</v>
      </c>
    </row>
    <row r="61" spans="1:5" s="47" customFormat="1" ht="12" customHeight="1">
      <c r="A61" s="181" t="s">
        <v>121</v>
      </c>
      <c r="B61" s="164" t="s">
        <v>210</v>
      </c>
      <c r="C61" s="155"/>
      <c r="D61" s="295"/>
      <c r="E61" s="91"/>
    </row>
    <row r="62" spans="1:5" s="47" customFormat="1" ht="12" customHeight="1">
      <c r="A62" s="182" t="s">
        <v>122</v>
      </c>
      <c r="B62" s="165" t="s">
        <v>329</v>
      </c>
      <c r="C62" s="155"/>
      <c r="D62" s="295"/>
      <c r="E62" s="91"/>
    </row>
    <row r="63" spans="1:5" s="47" customFormat="1" ht="12" customHeight="1">
      <c r="A63" s="182" t="s">
        <v>141</v>
      </c>
      <c r="B63" s="165" t="s">
        <v>211</v>
      </c>
      <c r="C63" s="155"/>
      <c r="D63" s="295"/>
      <c r="E63" s="91"/>
    </row>
    <row r="64" spans="1:5" s="47" customFormat="1" ht="12" customHeight="1" thickBot="1">
      <c r="A64" s="183" t="s">
        <v>209</v>
      </c>
      <c r="B64" s="166" t="s">
        <v>212</v>
      </c>
      <c r="C64" s="155"/>
      <c r="D64" s="295"/>
      <c r="E64" s="91"/>
    </row>
    <row r="65" spans="1:5" s="47" customFormat="1" ht="12" customHeight="1" thickBot="1">
      <c r="A65" s="24" t="s">
        <v>14</v>
      </c>
      <c r="B65" s="19" t="s">
        <v>213</v>
      </c>
      <c r="C65" s="157">
        <f>+C8+C15+C22+C29+C37+C49+C55+C60</f>
        <v>0</v>
      </c>
      <c r="D65" s="238">
        <f>+D8+D15+D22+D29+D37+D49+D55+D60</f>
        <v>0</v>
      </c>
      <c r="E65" s="193">
        <f>+E8+E15+E22+E29+E37+E49+E55+E60</f>
        <v>0</v>
      </c>
    </row>
    <row r="66" spans="1:5" s="47" customFormat="1" ht="12" customHeight="1" thickBot="1">
      <c r="A66" s="184" t="s">
        <v>298</v>
      </c>
      <c r="B66" s="94" t="s">
        <v>215</v>
      </c>
      <c r="C66" s="151">
        <f>SUM(C67:C69)</f>
        <v>0</v>
      </c>
      <c r="D66" s="234">
        <f>SUM(D67:D69)</f>
        <v>0</v>
      </c>
      <c r="E66" s="87">
        <f>SUM(E67:E69)</f>
        <v>0</v>
      </c>
    </row>
    <row r="67" spans="1:5" s="47" customFormat="1" ht="12" customHeight="1">
      <c r="A67" s="181" t="s">
        <v>243</v>
      </c>
      <c r="B67" s="164" t="s">
        <v>216</v>
      </c>
      <c r="C67" s="155"/>
      <c r="D67" s="295"/>
      <c r="E67" s="91"/>
    </row>
    <row r="68" spans="1:5" s="47" customFormat="1" ht="12" customHeight="1">
      <c r="A68" s="182" t="s">
        <v>252</v>
      </c>
      <c r="B68" s="165" t="s">
        <v>217</v>
      </c>
      <c r="C68" s="155"/>
      <c r="D68" s="295"/>
      <c r="E68" s="91"/>
    </row>
    <row r="69" spans="1:5" s="47" customFormat="1" ht="12" customHeight="1" thickBot="1">
      <c r="A69" s="183" t="s">
        <v>253</v>
      </c>
      <c r="B69" s="167" t="s">
        <v>218</v>
      </c>
      <c r="C69" s="155"/>
      <c r="D69" s="298"/>
      <c r="E69" s="91"/>
    </row>
    <row r="70" spans="1:5" s="47" customFormat="1" ht="12" customHeight="1" thickBot="1">
      <c r="A70" s="184" t="s">
        <v>219</v>
      </c>
      <c r="B70" s="94" t="s">
        <v>220</v>
      </c>
      <c r="C70" s="151">
        <f>SUM(C71:C74)</f>
        <v>0</v>
      </c>
      <c r="D70" s="151">
        <f>SUM(D71:D74)</f>
        <v>0</v>
      </c>
      <c r="E70" s="87">
        <f>SUM(E71:E74)</f>
        <v>0</v>
      </c>
    </row>
    <row r="71" spans="1:5" s="47" customFormat="1" ht="12" customHeight="1">
      <c r="A71" s="181" t="s">
        <v>99</v>
      </c>
      <c r="B71" s="338" t="s">
        <v>221</v>
      </c>
      <c r="C71" s="155"/>
      <c r="D71" s="155"/>
      <c r="E71" s="91"/>
    </row>
    <row r="72" spans="1:5" s="47" customFormat="1" ht="12" customHeight="1">
      <c r="A72" s="182" t="s">
        <v>100</v>
      </c>
      <c r="B72" s="338" t="s">
        <v>493</v>
      </c>
      <c r="C72" s="155"/>
      <c r="D72" s="155"/>
      <c r="E72" s="91"/>
    </row>
    <row r="73" spans="1:5" s="47" customFormat="1" ht="12" customHeight="1">
      <c r="A73" s="182" t="s">
        <v>244</v>
      </c>
      <c r="B73" s="338" t="s">
        <v>222</v>
      </c>
      <c r="C73" s="155"/>
      <c r="D73" s="155"/>
      <c r="E73" s="91"/>
    </row>
    <row r="74" spans="1:5" s="47" customFormat="1" ht="12" customHeight="1" thickBot="1">
      <c r="A74" s="183" t="s">
        <v>245</v>
      </c>
      <c r="B74" s="339" t="s">
        <v>494</v>
      </c>
      <c r="C74" s="155"/>
      <c r="D74" s="155"/>
      <c r="E74" s="91"/>
    </row>
    <row r="75" spans="1:5" s="47" customFormat="1" ht="12" customHeight="1" thickBot="1">
      <c r="A75" s="184" t="s">
        <v>223</v>
      </c>
      <c r="B75" s="94" t="s">
        <v>224</v>
      </c>
      <c r="C75" s="151">
        <f>SUM(C76:C77)</f>
        <v>0</v>
      </c>
      <c r="D75" s="151">
        <f>SUM(D76:D77)</f>
        <v>0</v>
      </c>
      <c r="E75" s="87">
        <f>SUM(E76:E77)</f>
        <v>0</v>
      </c>
    </row>
    <row r="76" spans="1:5" s="47" customFormat="1" ht="12" customHeight="1">
      <c r="A76" s="181" t="s">
        <v>246</v>
      </c>
      <c r="B76" s="164" t="s">
        <v>225</v>
      </c>
      <c r="C76" s="155"/>
      <c r="D76" s="155"/>
      <c r="E76" s="91"/>
    </row>
    <row r="77" spans="1:5" s="47" customFormat="1" ht="12" customHeight="1" thickBot="1">
      <c r="A77" s="183" t="s">
        <v>247</v>
      </c>
      <c r="B77" s="166" t="s">
        <v>226</v>
      </c>
      <c r="C77" s="155"/>
      <c r="D77" s="155"/>
      <c r="E77" s="91"/>
    </row>
    <row r="78" spans="1:5" s="46" customFormat="1" ht="12" customHeight="1" thickBot="1">
      <c r="A78" s="184" t="s">
        <v>227</v>
      </c>
      <c r="B78" s="94" t="s">
        <v>228</v>
      </c>
      <c r="C78" s="151">
        <f>SUM(C79:C81)</f>
        <v>0</v>
      </c>
      <c r="D78" s="151">
        <f>SUM(D79:D81)</f>
        <v>0</v>
      </c>
      <c r="E78" s="87">
        <f>SUM(E79:E81)</f>
        <v>0</v>
      </c>
    </row>
    <row r="79" spans="1:5" s="47" customFormat="1" ht="12" customHeight="1">
      <c r="A79" s="181" t="s">
        <v>248</v>
      </c>
      <c r="B79" s="164" t="s">
        <v>229</v>
      </c>
      <c r="C79" s="155"/>
      <c r="D79" s="155"/>
      <c r="E79" s="91"/>
    </row>
    <row r="80" spans="1:5" s="47" customFormat="1" ht="12" customHeight="1">
      <c r="A80" s="182" t="s">
        <v>249</v>
      </c>
      <c r="B80" s="165" t="s">
        <v>230</v>
      </c>
      <c r="C80" s="155"/>
      <c r="D80" s="155"/>
      <c r="E80" s="91"/>
    </row>
    <row r="81" spans="1:5" s="47" customFormat="1" ht="12" customHeight="1" thickBot="1">
      <c r="A81" s="183" t="s">
        <v>250</v>
      </c>
      <c r="B81" s="166" t="s">
        <v>495</v>
      </c>
      <c r="C81" s="155"/>
      <c r="D81" s="155"/>
      <c r="E81" s="91"/>
    </row>
    <row r="82" spans="1:5" s="47" customFormat="1" ht="12" customHeight="1" thickBot="1">
      <c r="A82" s="184" t="s">
        <v>231</v>
      </c>
      <c r="B82" s="94" t="s">
        <v>251</v>
      </c>
      <c r="C82" s="151">
        <f>SUM(C83:C86)</f>
        <v>0</v>
      </c>
      <c r="D82" s="151">
        <f>SUM(D83:D86)</f>
        <v>0</v>
      </c>
      <c r="E82" s="87">
        <f>SUM(E83:E86)</f>
        <v>0</v>
      </c>
    </row>
    <row r="83" spans="1:5" s="47" customFormat="1" ht="12" customHeight="1">
      <c r="A83" s="185" t="s">
        <v>232</v>
      </c>
      <c r="B83" s="164" t="s">
        <v>233</v>
      </c>
      <c r="C83" s="155"/>
      <c r="D83" s="155"/>
      <c r="E83" s="91"/>
    </row>
    <row r="84" spans="1:5" s="47" customFormat="1" ht="12" customHeight="1">
      <c r="A84" s="186" t="s">
        <v>234</v>
      </c>
      <c r="B84" s="165" t="s">
        <v>235</v>
      </c>
      <c r="C84" s="155"/>
      <c r="D84" s="155"/>
      <c r="E84" s="91"/>
    </row>
    <row r="85" spans="1:5" s="47" customFormat="1" ht="12" customHeight="1">
      <c r="A85" s="186" t="s">
        <v>236</v>
      </c>
      <c r="B85" s="165" t="s">
        <v>237</v>
      </c>
      <c r="C85" s="155"/>
      <c r="D85" s="155"/>
      <c r="E85" s="91"/>
    </row>
    <row r="86" spans="1:5" s="46" customFormat="1" ht="12" customHeight="1" thickBot="1">
      <c r="A86" s="187" t="s">
        <v>238</v>
      </c>
      <c r="B86" s="166" t="s">
        <v>239</v>
      </c>
      <c r="C86" s="155"/>
      <c r="D86" s="155"/>
      <c r="E86" s="91"/>
    </row>
    <row r="87" spans="1:5" s="46" customFormat="1" ht="12" customHeight="1" thickBot="1">
      <c r="A87" s="184" t="s">
        <v>240</v>
      </c>
      <c r="B87" s="94" t="s">
        <v>375</v>
      </c>
      <c r="C87" s="207"/>
      <c r="D87" s="207"/>
      <c r="E87" s="208"/>
    </row>
    <row r="88" spans="1:5" s="46" customFormat="1" ht="12" customHeight="1" thickBot="1">
      <c r="A88" s="184" t="s">
        <v>393</v>
      </c>
      <c r="B88" s="94" t="s">
        <v>241</v>
      </c>
      <c r="C88" s="207"/>
      <c r="D88" s="207"/>
      <c r="E88" s="208"/>
    </row>
    <row r="89" spans="1:5" s="46" customFormat="1" ht="12" customHeight="1" thickBot="1">
      <c r="A89" s="184" t="s">
        <v>394</v>
      </c>
      <c r="B89" s="171" t="s">
        <v>378</v>
      </c>
      <c r="C89" s="157">
        <f>+C66+C70+C75+C78+C82+C88+C87</f>
        <v>0</v>
      </c>
      <c r="D89" s="157">
        <f>+D66+D70+D75+D78+D82+D88+D87</f>
        <v>0</v>
      </c>
      <c r="E89" s="193">
        <f>+E66+E70+E75+E78+E82+E88+E87</f>
        <v>0</v>
      </c>
    </row>
    <row r="90" spans="1:5" s="46" customFormat="1" ht="12" customHeight="1" thickBot="1">
      <c r="A90" s="188" t="s">
        <v>395</v>
      </c>
      <c r="B90" s="172" t="s">
        <v>396</v>
      </c>
      <c r="C90" s="157">
        <f>+C65+C89</f>
        <v>0</v>
      </c>
      <c r="D90" s="157">
        <f>+D65+D89</f>
        <v>0</v>
      </c>
      <c r="E90" s="193">
        <f>+E65+E89</f>
        <v>0</v>
      </c>
    </row>
    <row r="91" spans="1:3" s="47" customFormat="1" ht="15" customHeight="1" thickBot="1">
      <c r="A91" s="77"/>
      <c r="B91" s="78"/>
      <c r="C91" s="133"/>
    </row>
    <row r="92" spans="1:5" s="40" customFormat="1" ht="16.5" customHeight="1" thickBot="1">
      <c r="A92" s="891" t="s">
        <v>41</v>
      </c>
      <c r="B92" s="892"/>
      <c r="C92" s="892"/>
      <c r="D92" s="892"/>
      <c r="E92" s="893"/>
    </row>
    <row r="93" spans="1:5" s="48" customFormat="1" ht="12" customHeight="1" thickBot="1">
      <c r="A93" s="158" t="s">
        <v>6</v>
      </c>
      <c r="B93" s="23" t="s">
        <v>400</v>
      </c>
      <c r="C93" s="150">
        <f>+C94+C95+C96+C97+C98+C111</f>
        <v>0</v>
      </c>
      <c r="D93" s="150">
        <f>+D94+D95+D96+D97+D98+D111</f>
        <v>0</v>
      </c>
      <c r="E93" s="217">
        <f>+E94+E95+E96+E97+E98+E111</f>
        <v>0</v>
      </c>
    </row>
    <row r="94" spans="1:5" ht="12" customHeight="1">
      <c r="A94" s="189" t="s">
        <v>63</v>
      </c>
      <c r="B94" s="8" t="s">
        <v>35</v>
      </c>
      <c r="C94" s="224"/>
      <c r="D94" s="224"/>
      <c r="E94" s="218"/>
    </row>
    <row r="95" spans="1:5" ht="12" customHeight="1">
      <c r="A95" s="182" t="s">
        <v>64</v>
      </c>
      <c r="B95" s="6" t="s">
        <v>123</v>
      </c>
      <c r="C95" s="152"/>
      <c r="D95" s="152"/>
      <c r="E95" s="88"/>
    </row>
    <row r="96" spans="1:5" ht="12" customHeight="1">
      <c r="A96" s="182" t="s">
        <v>65</v>
      </c>
      <c r="B96" s="6" t="s">
        <v>91</v>
      </c>
      <c r="C96" s="154"/>
      <c r="D96" s="152"/>
      <c r="E96" s="90"/>
    </row>
    <row r="97" spans="1:5" ht="12" customHeight="1">
      <c r="A97" s="182" t="s">
        <v>66</v>
      </c>
      <c r="B97" s="9" t="s">
        <v>124</v>
      </c>
      <c r="C97" s="154"/>
      <c r="D97" s="237"/>
      <c r="E97" s="90"/>
    </row>
    <row r="98" spans="1:5" ht="12" customHeight="1">
      <c r="A98" s="182" t="s">
        <v>75</v>
      </c>
      <c r="B98" s="17" t="s">
        <v>125</v>
      </c>
      <c r="C98" s="154"/>
      <c r="D98" s="237"/>
      <c r="E98" s="90"/>
    </row>
    <row r="99" spans="1:5" ht="12" customHeight="1">
      <c r="A99" s="182" t="s">
        <v>67</v>
      </c>
      <c r="B99" s="6" t="s">
        <v>397</v>
      </c>
      <c r="C99" s="154"/>
      <c r="D99" s="237"/>
      <c r="E99" s="90"/>
    </row>
    <row r="100" spans="1:5" ht="12" customHeight="1">
      <c r="A100" s="182" t="s">
        <v>68</v>
      </c>
      <c r="B100" s="57" t="s">
        <v>341</v>
      </c>
      <c r="C100" s="154"/>
      <c r="D100" s="237"/>
      <c r="E100" s="90"/>
    </row>
    <row r="101" spans="1:5" ht="12" customHeight="1">
      <c r="A101" s="182" t="s">
        <v>76</v>
      </c>
      <c r="B101" s="57" t="s">
        <v>340</v>
      </c>
      <c r="C101" s="154"/>
      <c r="D101" s="237"/>
      <c r="E101" s="90"/>
    </row>
    <row r="102" spans="1:5" ht="12" customHeight="1">
      <c r="A102" s="182" t="s">
        <v>77</v>
      </c>
      <c r="B102" s="57" t="s">
        <v>257</v>
      </c>
      <c r="C102" s="154"/>
      <c r="D102" s="237"/>
      <c r="E102" s="90"/>
    </row>
    <row r="103" spans="1:5" ht="12" customHeight="1">
      <c r="A103" s="182" t="s">
        <v>78</v>
      </c>
      <c r="B103" s="58" t="s">
        <v>258</v>
      </c>
      <c r="C103" s="154"/>
      <c r="D103" s="237"/>
      <c r="E103" s="90"/>
    </row>
    <row r="104" spans="1:5" ht="12" customHeight="1">
      <c r="A104" s="182" t="s">
        <v>79</v>
      </c>
      <c r="B104" s="58" t="s">
        <v>259</v>
      </c>
      <c r="C104" s="154"/>
      <c r="D104" s="237"/>
      <c r="E104" s="90"/>
    </row>
    <row r="105" spans="1:5" ht="12" customHeight="1">
      <c r="A105" s="182" t="s">
        <v>81</v>
      </c>
      <c r="B105" s="57" t="s">
        <v>260</v>
      </c>
      <c r="C105" s="154"/>
      <c r="D105" s="237"/>
      <c r="E105" s="90"/>
    </row>
    <row r="106" spans="1:5" ht="12" customHeight="1">
      <c r="A106" s="182" t="s">
        <v>126</v>
      </c>
      <c r="B106" s="57" t="s">
        <v>261</v>
      </c>
      <c r="C106" s="154"/>
      <c r="D106" s="237"/>
      <c r="E106" s="90"/>
    </row>
    <row r="107" spans="1:5" ht="12" customHeight="1">
      <c r="A107" s="182" t="s">
        <v>255</v>
      </c>
      <c r="B107" s="58" t="s">
        <v>262</v>
      </c>
      <c r="C107" s="152"/>
      <c r="D107" s="237"/>
      <c r="E107" s="90"/>
    </row>
    <row r="108" spans="1:5" ht="12" customHeight="1">
      <c r="A108" s="190" t="s">
        <v>256</v>
      </c>
      <c r="B108" s="59" t="s">
        <v>263</v>
      </c>
      <c r="C108" s="154"/>
      <c r="D108" s="237"/>
      <c r="E108" s="90"/>
    </row>
    <row r="109" spans="1:5" ht="12" customHeight="1">
      <c r="A109" s="182" t="s">
        <v>338</v>
      </c>
      <c r="B109" s="59" t="s">
        <v>264</v>
      </c>
      <c r="C109" s="154"/>
      <c r="D109" s="237"/>
      <c r="E109" s="90"/>
    </row>
    <row r="110" spans="1:5" ht="12" customHeight="1">
      <c r="A110" s="182" t="s">
        <v>339</v>
      </c>
      <c r="B110" s="58" t="s">
        <v>265</v>
      </c>
      <c r="C110" s="152"/>
      <c r="D110" s="236"/>
      <c r="E110" s="88"/>
    </row>
    <row r="111" spans="1:5" ht="12" customHeight="1">
      <c r="A111" s="182" t="s">
        <v>343</v>
      </c>
      <c r="B111" s="9" t="s">
        <v>36</v>
      </c>
      <c r="C111" s="152"/>
      <c r="D111" s="236"/>
      <c r="E111" s="88"/>
    </row>
    <row r="112" spans="1:5" ht="12" customHeight="1">
      <c r="A112" s="183" t="s">
        <v>344</v>
      </c>
      <c r="B112" s="6" t="s">
        <v>398</v>
      </c>
      <c r="C112" s="154"/>
      <c r="D112" s="237"/>
      <c r="E112" s="90"/>
    </row>
    <row r="113" spans="1:5" ht="12" customHeight="1" thickBot="1">
      <c r="A113" s="191" t="s">
        <v>345</v>
      </c>
      <c r="B113" s="60" t="s">
        <v>399</v>
      </c>
      <c r="C113" s="225"/>
      <c r="D113" s="301"/>
      <c r="E113" s="219"/>
    </row>
    <row r="114" spans="1:5" ht="12" customHeight="1" thickBot="1">
      <c r="A114" s="24" t="s">
        <v>7</v>
      </c>
      <c r="B114" s="22" t="s">
        <v>266</v>
      </c>
      <c r="C114" s="151">
        <f>+C115+C117+C119</f>
        <v>0</v>
      </c>
      <c r="D114" s="234">
        <f>+D115+D117+D119</f>
        <v>0</v>
      </c>
      <c r="E114" s="87">
        <f>+E115+E117+E119</f>
        <v>0</v>
      </c>
    </row>
    <row r="115" spans="1:5" ht="12" customHeight="1">
      <c r="A115" s="181" t="s">
        <v>69</v>
      </c>
      <c r="B115" s="6" t="s">
        <v>140</v>
      </c>
      <c r="C115" s="153"/>
      <c r="D115" s="235"/>
      <c r="E115" s="89"/>
    </row>
    <row r="116" spans="1:5" ht="12" customHeight="1">
      <c r="A116" s="181" t="s">
        <v>70</v>
      </c>
      <c r="B116" s="10" t="s">
        <v>270</v>
      </c>
      <c r="C116" s="153"/>
      <c r="D116" s="235"/>
      <c r="E116" s="89"/>
    </row>
    <row r="117" spans="1:5" ht="12" customHeight="1">
      <c r="A117" s="181" t="s">
        <v>71</v>
      </c>
      <c r="B117" s="10" t="s">
        <v>127</v>
      </c>
      <c r="C117" s="152"/>
      <c r="D117" s="236"/>
      <c r="E117" s="88"/>
    </row>
    <row r="118" spans="1:5" ht="12" customHeight="1">
      <c r="A118" s="181" t="s">
        <v>72</v>
      </c>
      <c r="B118" s="10" t="s">
        <v>271</v>
      </c>
      <c r="C118" s="152"/>
      <c r="D118" s="236"/>
      <c r="E118" s="88"/>
    </row>
    <row r="119" spans="1:5" ht="12" customHeight="1">
      <c r="A119" s="181" t="s">
        <v>73</v>
      </c>
      <c r="B119" s="96" t="s">
        <v>142</v>
      </c>
      <c r="C119" s="152"/>
      <c r="D119" s="236"/>
      <c r="E119" s="88"/>
    </row>
    <row r="120" spans="1:5" ht="12" customHeight="1">
      <c r="A120" s="181" t="s">
        <v>80</v>
      </c>
      <c r="B120" s="95" t="s">
        <v>330</v>
      </c>
      <c r="C120" s="152"/>
      <c r="D120" s="236"/>
      <c r="E120" s="88"/>
    </row>
    <row r="121" spans="1:5" ht="12" customHeight="1">
      <c r="A121" s="181" t="s">
        <v>82</v>
      </c>
      <c r="B121" s="160" t="s">
        <v>276</v>
      </c>
      <c r="C121" s="152"/>
      <c r="D121" s="236"/>
      <c r="E121" s="88"/>
    </row>
    <row r="122" spans="1:5" ht="12" customHeight="1">
      <c r="A122" s="181" t="s">
        <v>128</v>
      </c>
      <c r="B122" s="58" t="s">
        <v>259</v>
      </c>
      <c r="C122" s="152"/>
      <c r="D122" s="236"/>
      <c r="E122" s="88"/>
    </row>
    <row r="123" spans="1:5" ht="12" customHeight="1">
      <c r="A123" s="181" t="s">
        <v>129</v>
      </c>
      <c r="B123" s="58" t="s">
        <v>275</v>
      </c>
      <c r="C123" s="152"/>
      <c r="D123" s="236"/>
      <c r="E123" s="88"/>
    </row>
    <row r="124" spans="1:5" ht="12" customHeight="1">
      <c r="A124" s="181" t="s">
        <v>130</v>
      </c>
      <c r="B124" s="58" t="s">
        <v>274</v>
      </c>
      <c r="C124" s="152"/>
      <c r="D124" s="236"/>
      <c r="E124" s="88"/>
    </row>
    <row r="125" spans="1:5" ht="12" customHeight="1">
      <c r="A125" s="181" t="s">
        <v>267</v>
      </c>
      <c r="B125" s="58" t="s">
        <v>262</v>
      </c>
      <c r="C125" s="152"/>
      <c r="D125" s="236"/>
      <c r="E125" s="88"/>
    </row>
    <row r="126" spans="1:5" ht="12" customHeight="1">
      <c r="A126" s="181" t="s">
        <v>268</v>
      </c>
      <c r="B126" s="58" t="s">
        <v>273</v>
      </c>
      <c r="C126" s="152"/>
      <c r="D126" s="236"/>
      <c r="E126" s="88"/>
    </row>
    <row r="127" spans="1:5" ht="12" customHeight="1" thickBot="1">
      <c r="A127" s="190" t="s">
        <v>269</v>
      </c>
      <c r="B127" s="58" t="s">
        <v>272</v>
      </c>
      <c r="C127" s="154"/>
      <c r="D127" s="237"/>
      <c r="E127" s="90"/>
    </row>
    <row r="128" spans="1:5" ht="12" customHeight="1" thickBot="1">
      <c r="A128" s="24" t="s">
        <v>8</v>
      </c>
      <c r="B128" s="51" t="s">
        <v>348</v>
      </c>
      <c r="C128" s="151">
        <f>+C93+C114</f>
        <v>0</v>
      </c>
      <c r="D128" s="234">
        <f>+D93+D114</f>
        <v>0</v>
      </c>
      <c r="E128" s="87">
        <f>+E93+E114</f>
        <v>0</v>
      </c>
    </row>
    <row r="129" spans="1:5" ht="12" customHeight="1" thickBot="1">
      <c r="A129" s="24" t="s">
        <v>9</v>
      </c>
      <c r="B129" s="51" t="s">
        <v>349</v>
      </c>
      <c r="C129" s="151">
        <f>+C130+C131+C132</f>
        <v>0</v>
      </c>
      <c r="D129" s="234">
        <f>+D130+D131+D132</f>
        <v>0</v>
      </c>
      <c r="E129" s="87">
        <f>+E130+E131+E132</f>
        <v>0</v>
      </c>
    </row>
    <row r="130" spans="1:5" s="48" customFormat="1" ht="12" customHeight="1">
      <c r="A130" s="181" t="s">
        <v>174</v>
      </c>
      <c r="B130" s="7" t="s">
        <v>403</v>
      </c>
      <c r="C130" s="152"/>
      <c r="D130" s="236"/>
      <c r="E130" s="88"/>
    </row>
    <row r="131" spans="1:5" ht="12" customHeight="1">
      <c r="A131" s="181" t="s">
        <v>175</v>
      </c>
      <c r="B131" s="7" t="s">
        <v>357</v>
      </c>
      <c r="C131" s="152"/>
      <c r="D131" s="236"/>
      <c r="E131" s="88"/>
    </row>
    <row r="132" spans="1:5" ht="12" customHeight="1" thickBot="1">
      <c r="A132" s="190" t="s">
        <v>176</v>
      </c>
      <c r="B132" s="5" t="s">
        <v>402</v>
      </c>
      <c r="C132" s="152"/>
      <c r="D132" s="236"/>
      <c r="E132" s="88"/>
    </row>
    <row r="133" spans="1:5" ht="12" customHeight="1" thickBot="1">
      <c r="A133" s="24" t="s">
        <v>10</v>
      </c>
      <c r="B133" s="51" t="s">
        <v>350</v>
      </c>
      <c r="C133" s="151">
        <f>+C134+C135+C136+C137+C138+C139</f>
        <v>0</v>
      </c>
      <c r="D133" s="234">
        <f>+D134+D135+D136+D137+D138+D139</f>
        <v>0</v>
      </c>
      <c r="E133" s="87">
        <f>+E134+E135+E136+E137+E138+E139</f>
        <v>0</v>
      </c>
    </row>
    <row r="134" spans="1:5" ht="12" customHeight="1">
      <c r="A134" s="181" t="s">
        <v>56</v>
      </c>
      <c r="B134" s="7" t="s">
        <v>359</v>
      </c>
      <c r="C134" s="152"/>
      <c r="D134" s="236"/>
      <c r="E134" s="88"/>
    </row>
    <row r="135" spans="1:5" ht="12" customHeight="1">
      <c r="A135" s="181" t="s">
        <v>57</v>
      </c>
      <c r="B135" s="7" t="s">
        <v>351</v>
      </c>
      <c r="C135" s="152"/>
      <c r="D135" s="236"/>
      <c r="E135" s="88"/>
    </row>
    <row r="136" spans="1:5" ht="12" customHeight="1">
      <c r="A136" s="181" t="s">
        <v>58</v>
      </c>
      <c r="B136" s="7" t="s">
        <v>352</v>
      </c>
      <c r="C136" s="152"/>
      <c r="D136" s="236"/>
      <c r="E136" s="88"/>
    </row>
    <row r="137" spans="1:5" ht="12" customHeight="1">
      <c r="A137" s="181" t="s">
        <v>115</v>
      </c>
      <c r="B137" s="7" t="s">
        <v>401</v>
      </c>
      <c r="C137" s="152"/>
      <c r="D137" s="236"/>
      <c r="E137" s="88"/>
    </row>
    <row r="138" spans="1:5" ht="12" customHeight="1">
      <c r="A138" s="181" t="s">
        <v>116</v>
      </c>
      <c r="B138" s="7" t="s">
        <v>354</v>
      </c>
      <c r="C138" s="152"/>
      <c r="D138" s="236"/>
      <c r="E138" s="88"/>
    </row>
    <row r="139" spans="1:5" s="48" customFormat="1" ht="12" customHeight="1" thickBot="1">
      <c r="A139" s="190" t="s">
        <v>117</v>
      </c>
      <c r="B139" s="5" t="s">
        <v>355</v>
      </c>
      <c r="C139" s="152"/>
      <c r="D139" s="236"/>
      <c r="E139" s="88"/>
    </row>
    <row r="140" spans="1:11" ht="12" customHeight="1" thickBot="1">
      <c r="A140" s="24" t="s">
        <v>11</v>
      </c>
      <c r="B140" s="51" t="s">
        <v>416</v>
      </c>
      <c r="C140" s="157">
        <f>+C141+C142+C144+C145+C143</f>
        <v>0</v>
      </c>
      <c r="D140" s="238">
        <f>+D141+D142+D144+D145+D143</f>
        <v>0</v>
      </c>
      <c r="E140" s="193">
        <f>+E141+E142+E144+E145+E143</f>
        <v>0</v>
      </c>
      <c r="K140" s="86"/>
    </row>
    <row r="141" spans="1:5" ht="12.75">
      <c r="A141" s="181" t="s">
        <v>59</v>
      </c>
      <c r="B141" s="7" t="s">
        <v>277</v>
      </c>
      <c r="C141" s="152"/>
      <c r="D141" s="236"/>
      <c r="E141" s="88"/>
    </row>
    <row r="142" spans="1:5" ht="12" customHeight="1">
      <c r="A142" s="181" t="s">
        <v>60</v>
      </c>
      <c r="B142" s="7" t="s">
        <v>278</v>
      </c>
      <c r="C142" s="152"/>
      <c r="D142" s="236"/>
      <c r="E142" s="88"/>
    </row>
    <row r="143" spans="1:5" ht="12" customHeight="1">
      <c r="A143" s="181" t="s">
        <v>194</v>
      </c>
      <c r="B143" s="7" t="s">
        <v>415</v>
      </c>
      <c r="C143" s="152"/>
      <c r="D143" s="236"/>
      <c r="E143" s="88"/>
    </row>
    <row r="144" spans="1:5" s="48" customFormat="1" ht="12" customHeight="1">
      <c r="A144" s="181" t="s">
        <v>195</v>
      </c>
      <c r="B144" s="7" t="s">
        <v>364</v>
      </c>
      <c r="C144" s="152"/>
      <c r="D144" s="236"/>
      <c r="E144" s="88"/>
    </row>
    <row r="145" spans="1:5" s="48" customFormat="1" ht="12" customHeight="1" thickBot="1">
      <c r="A145" s="190" t="s">
        <v>196</v>
      </c>
      <c r="B145" s="5" t="s">
        <v>294</v>
      </c>
      <c r="C145" s="152"/>
      <c r="D145" s="236"/>
      <c r="E145" s="88"/>
    </row>
    <row r="146" spans="1:5" s="48" customFormat="1" ht="12" customHeight="1" thickBot="1">
      <c r="A146" s="24" t="s">
        <v>12</v>
      </c>
      <c r="B146" s="51" t="s">
        <v>365</v>
      </c>
      <c r="C146" s="227">
        <f>+C147+C148+C149+C150+C151</f>
        <v>0</v>
      </c>
      <c r="D146" s="239">
        <f>+D147+D148+D149+D150+D151</f>
        <v>0</v>
      </c>
      <c r="E146" s="221">
        <f>+E147+E148+E149+E150+E151</f>
        <v>0</v>
      </c>
    </row>
    <row r="147" spans="1:5" s="48" customFormat="1" ht="12" customHeight="1">
      <c r="A147" s="181" t="s">
        <v>61</v>
      </c>
      <c r="B147" s="7" t="s">
        <v>360</v>
      </c>
      <c r="C147" s="152"/>
      <c r="D147" s="236"/>
      <c r="E147" s="88"/>
    </row>
    <row r="148" spans="1:5" s="48" customFormat="1" ht="12" customHeight="1">
      <c r="A148" s="181" t="s">
        <v>62</v>
      </c>
      <c r="B148" s="7" t="s">
        <v>367</v>
      </c>
      <c r="C148" s="152"/>
      <c r="D148" s="236"/>
      <c r="E148" s="88"/>
    </row>
    <row r="149" spans="1:5" s="48" customFormat="1" ht="12" customHeight="1">
      <c r="A149" s="181" t="s">
        <v>206</v>
      </c>
      <c r="B149" s="7" t="s">
        <v>362</v>
      </c>
      <c r="C149" s="152"/>
      <c r="D149" s="236"/>
      <c r="E149" s="88"/>
    </row>
    <row r="150" spans="1:5" s="48" customFormat="1" ht="12" customHeight="1">
      <c r="A150" s="181" t="s">
        <v>207</v>
      </c>
      <c r="B150" s="7" t="s">
        <v>404</v>
      </c>
      <c r="C150" s="152"/>
      <c r="D150" s="236"/>
      <c r="E150" s="88"/>
    </row>
    <row r="151" spans="1:5" ht="12.75" customHeight="1" thickBot="1">
      <c r="A151" s="190" t="s">
        <v>366</v>
      </c>
      <c r="B151" s="5" t="s">
        <v>369</v>
      </c>
      <c r="C151" s="154"/>
      <c r="D151" s="237"/>
      <c r="E151" s="90"/>
    </row>
    <row r="152" spans="1:5" ht="12.75" customHeight="1" thickBot="1">
      <c r="A152" s="216" t="s">
        <v>13</v>
      </c>
      <c r="B152" s="51" t="s">
        <v>370</v>
      </c>
      <c r="C152" s="227"/>
      <c r="D152" s="239"/>
      <c r="E152" s="221"/>
    </row>
    <row r="153" spans="1:5" ht="12.75" customHeight="1" thickBot="1">
      <c r="A153" s="216" t="s">
        <v>14</v>
      </c>
      <c r="B153" s="51" t="s">
        <v>371</v>
      </c>
      <c r="C153" s="227"/>
      <c r="D153" s="239"/>
      <c r="E153" s="221"/>
    </row>
    <row r="154" spans="1:5" ht="12" customHeight="1" thickBot="1">
      <c r="A154" s="24" t="s">
        <v>15</v>
      </c>
      <c r="B154" s="51" t="s">
        <v>373</v>
      </c>
      <c r="C154" s="229">
        <f>+C129+C133+C140+C146+C152+C153</f>
        <v>0</v>
      </c>
      <c r="D154" s="241">
        <f>+D129+D133+D140+D146+D152+D153</f>
        <v>0</v>
      </c>
      <c r="E154" s="223">
        <f>+E129+E133+E140+E146+E152+E153</f>
        <v>0</v>
      </c>
    </row>
    <row r="155" spans="1:5" ht="15" customHeight="1" thickBot="1">
      <c r="A155" s="192" t="s">
        <v>16</v>
      </c>
      <c r="B155" s="138" t="s">
        <v>372</v>
      </c>
      <c r="C155" s="229">
        <f>+C128+C154</f>
        <v>0</v>
      </c>
      <c r="D155" s="241">
        <f>+D128+D154</f>
        <v>0</v>
      </c>
      <c r="E155" s="223">
        <f>+E128+E154</f>
        <v>0</v>
      </c>
    </row>
    <row r="156" spans="1:5" ht="13.5" thickBot="1">
      <c r="A156" s="141"/>
      <c r="B156" s="142"/>
      <c r="C156" s="546">
        <f>C90-C155</f>
        <v>0</v>
      </c>
      <c r="D156" s="546">
        <f>D90-D155</f>
        <v>0</v>
      </c>
      <c r="E156" s="143"/>
    </row>
    <row r="157" spans="1:5" ht="15" customHeight="1" thickBot="1">
      <c r="A157" s="311" t="s">
        <v>488</v>
      </c>
      <c r="B157" s="312"/>
      <c r="C157" s="300"/>
      <c r="D157" s="300"/>
      <c r="E157" s="299"/>
    </row>
    <row r="158" spans="1:5" ht="14.25" customHeight="1" thickBot="1">
      <c r="A158" s="313" t="s">
        <v>489</v>
      </c>
      <c r="B158" s="314"/>
      <c r="C158" s="300"/>
      <c r="D158" s="300"/>
      <c r="E158" s="299"/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61"/>
  <sheetViews>
    <sheetView view="pageBreakPreview" zoomScale="60" zoomScaleNormal="120" workbookViewId="0" topLeftCell="A1">
      <selection activeCell="I28" sqref="I28"/>
    </sheetView>
  </sheetViews>
  <sheetFormatPr defaultColWidth="9.00390625" defaultRowHeight="12.75"/>
  <cols>
    <col min="1" max="1" width="13.00390625" style="82" customWidth="1"/>
    <col min="2" max="2" width="59.00390625" style="83" customWidth="1"/>
    <col min="3" max="5" width="15.875" style="83" customWidth="1"/>
    <col min="6" max="16384" width="9.375" style="83" customWidth="1"/>
  </cols>
  <sheetData>
    <row r="1" spans="1:5" s="73" customFormat="1" ht="16.5" thickBot="1">
      <c r="A1" s="358"/>
      <c r="B1" s="895" t="s">
        <v>1252</v>
      </c>
      <c r="C1" s="896"/>
      <c r="D1" s="896"/>
      <c r="E1" s="896"/>
    </row>
    <row r="2" spans="1:5" s="199" customFormat="1" ht="24.75" thickBot="1">
      <c r="A2" s="359" t="s">
        <v>455</v>
      </c>
      <c r="B2" s="897" t="s">
        <v>621</v>
      </c>
      <c r="C2" s="898"/>
      <c r="D2" s="899"/>
      <c r="E2" s="360" t="s">
        <v>43</v>
      </c>
    </row>
    <row r="3" spans="1:5" s="199" customFormat="1" ht="24.75" thickBot="1">
      <c r="A3" s="359" t="s">
        <v>136</v>
      </c>
      <c r="B3" s="897" t="s">
        <v>302</v>
      </c>
      <c r="C3" s="898"/>
      <c r="D3" s="899"/>
      <c r="E3" s="360" t="s">
        <v>39</v>
      </c>
    </row>
    <row r="4" spans="1:5" s="200" customFormat="1" ht="15.75" customHeight="1" thickBot="1">
      <c r="A4" s="361"/>
      <c r="B4" s="361"/>
      <c r="C4" s="362"/>
      <c r="D4" s="363"/>
      <c r="E4" s="362" t="str">
        <f>'[1]Z_6.1.3.sz.mell'!E4</f>
        <v> Forintban!</v>
      </c>
    </row>
    <row r="5" spans="1:5" ht="24.75" thickBot="1">
      <c r="A5" s="364" t="s">
        <v>137</v>
      </c>
      <c r="B5" s="365" t="s">
        <v>487</v>
      </c>
      <c r="C5" s="365" t="s">
        <v>453</v>
      </c>
      <c r="D5" s="366" t="s">
        <v>454</v>
      </c>
      <c r="E5" s="347" t="str">
        <f>CONCATENATE('[2]12'!E5)</f>
        <v>Teljesítés
2021. XII. 31.</v>
      </c>
    </row>
    <row r="6" spans="1:5" s="201" customFormat="1" ht="12.75" customHeight="1" thickBot="1">
      <c r="A6" s="397" t="s">
        <v>384</v>
      </c>
      <c r="B6" s="398" t="s">
        <v>385</v>
      </c>
      <c r="C6" s="398" t="s">
        <v>386</v>
      </c>
      <c r="D6" s="399" t="s">
        <v>388</v>
      </c>
      <c r="E6" s="400" t="s">
        <v>387</v>
      </c>
    </row>
    <row r="7" spans="1:5" s="201" customFormat="1" ht="15.75" customHeight="1" thickBot="1">
      <c r="A7" s="891" t="s">
        <v>40</v>
      </c>
      <c r="B7" s="892"/>
      <c r="C7" s="892"/>
      <c r="D7" s="892"/>
      <c r="E7" s="893"/>
    </row>
    <row r="8" spans="1:5" s="137" customFormat="1" ht="12" customHeight="1" thickBot="1">
      <c r="A8" s="66" t="s">
        <v>6</v>
      </c>
      <c r="B8" s="74" t="s">
        <v>405</v>
      </c>
      <c r="C8" s="104">
        <f>SUM(C9:C19)</f>
        <v>34950648</v>
      </c>
      <c r="D8" s="104">
        <f>SUM(D9:D19)</f>
        <v>34950648</v>
      </c>
      <c r="E8" s="132">
        <f>SUM(E9:E19)</f>
        <v>30504944</v>
      </c>
    </row>
    <row r="9" spans="1:5" s="137" customFormat="1" ht="12" customHeight="1">
      <c r="A9" s="194" t="s">
        <v>63</v>
      </c>
      <c r="B9" s="8" t="s">
        <v>183</v>
      </c>
      <c r="C9" s="256"/>
      <c r="D9" s="256"/>
      <c r="E9" s="303"/>
    </row>
    <row r="10" spans="1:5" s="137" customFormat="1" ht="12" customHeight="1">
      <c r="A10" s="195" t="s">
        <v>64</v>
      </c>
      <c r="B10" s="6" t="s">
        <v>184</v>
      </c>
      <c r="C10" s="101">
        <v>17351400</v>
      </c>
      <c r="D10" s="101">
        <v>17351400</v>
      </c>
      <c r="E10" s="248">
        <v>16065132</v>
      </c>
    </row>
    <row r="11" spans="1:5" s="137" customFormat="1" ht="12" customHeight="1">
      <c r="A11" s="195" t="s">
        <v>65</v>
      </c>
      <c r="B11" s="6" t="s">
        <v>185</v>
      </c>
      <c r="C11" s="101">
        <v>3600000</v>
      </c>
      <c r="D11" s="101">
        <v>3600000</v>
      </c>
      <c r="E11" s="248">
        <v>3084934</v>
      </c>
    </row>
    <row r="12" spans="1:5" s="137" customFormat="1" ht="12" customHeight="1">
      <c r="A12" s="195" t="s">
        <v>66</v>
      </c>
      <c r="B12" s="6" t="s">
        <v>186</v>
      </c>
      <c r="C12" s="101"/>
      <c r="D12" s="101"/>
      <c r="E12" s="248"/>
    </row>
    <row r="13" spans="1:5" s="137" customFormat="1" ht="12" customHeight="1">
      <c r="A13" s="195" t="s">
        <v>98</v>
      </c>
      <c r="B13" s="6" t="s">
        <v>187</v>
      </c>
      <c r="C13" s="101">
        <v>8099425</v>
      </c>
      <c r="D13" s="101">
        <v>8099425</v>
      </c>
      <c r="E13" s="248">
        <v>6060793</v>
      </c>
    </row>
    <row r="14" spans="1:5" s="137" customFormat="1" ht="12" customHeight="1">
      <c r="A14" s="195" t="s">
        <v>67</v>
      </c>
      <c r="B14" s="6" t="s">
        <v>303</v>
      </c>
      <c r="C14" s="101">
        <v>5899823</v>
      </c>
      <c r="D14" s="101">
        <v>5899823</v>
      </c>
      <c r="E14" s="248">
        <v>5236263</v>
      </c>
    </row>
    <row r="15" spans="1:5" s="137" customFormat="1" ht="12" customHeight="1">
      <c r="A15" s="195" t="s">
        <v>68</v>
      </c>
      <c r="B15" s="5" t="s">
        <v>304</v>
      </c>
      <c r="C15" s="101"/>
      <c r="D15" s="101"/>
      <c r="E15" s="248"/>
    </row>
    <row r="16" spans="1:5" s="137" customFormat="1" ht="12" customHeight="1">
      <c r="A16" s="195" t="s">
        <v>76</v>
      </c>
      <c r="B16" s="6" t="s">
        <v>190</v>
      </c>
      <c r="C16" s="254"/>
      <c r="D16" s="254"/>
      <c r="E16" s="252">
        <v>11</v>
      </c>
    </row>
    <row r="17" spans="1:5" s="202" customFormat="1" ht="12" customHeight="1">
      <c r="A17" s="195" t="s">
        <v>77</v>
      </c>
      <c r="B17" s="6" t="s">
        <v>191</v>
      </c>
      <c r="C17" s="101"/>
      <c r="D17" s="101"/>
      <c r="E17" s="248"/>
    </row>
    <row r="18" spans="1:5" s="202" customFormat="1" ht="12" customHeight="1">
      <c r="A18" s="195" t="s">
        <v>78</v>
      </c>
      <c r="B18" s="6" t="s">
        <v>336</v>
      </c>
      <c r="C18" s="103"/>
      <c r="D18" s="103"/>
      <c r="E18" s="249"/>
    </row>
    <row r="19" spans="1:5" s="202" customFormat="1" ht="12" customHeight="1" thickBot="1">
      <c r="A19" s="195" t="s">
        <v>79</v>
      </c>
      <c r="B19" s="5" t="s">
        <v>192</v>
      </c>
      <c r="C19" s="103"/>
      <c r="D19" s="103"/>
      <c r="E19" s="249">
        <v>57811</v>
      </c>
    </row>
    <row r="20" spans="1:5" s="137" customFormat="1" ht="12" customHeight="1" thickBot="1">
      <c r="A20" s="66" t="s">
        <v>7</v>
      </c>
      <c r="B20" s="74" t="s">
        <v>305</v>
      </c>
      <c r="C20" s="104">
        <f>SUM(C21:C23)</f>
        <v>0</v>
      </c>
      <c r="D20" s="104">
        <f>SUM(D21:D23)</f>
        <v>0</v>
      </c>
      <c r="E20" s="132">
        <f>SUM(E21:E23)</f>
        <v>251100</v>
      </c>
    </row>
    <row r="21" spans="1:5" s="202" customFormat="1" ht="12" customHeight="1">
      <c r="A21" s="195" t="s">
        <v>69</v>
      </c>
      <c r="B21" s="7" t="s">
        <v>165</v>
      </c>
      <c r="C21" s="101"/>
      <c r="D21" s="101"/>
      <c r="E21" s="248"/>
    </row>
    <row r="22" spans="1:5" s="202" customFormat="1" ht="12" customHeight="1">
      <c r="A22" s="195" t="s">
        <v>70</v>
      </c>
      <c r="B22" s="6" t="s">
        <v>306</v>
      </c>
      <c r="C22" s="101"/>
      <c r="D22" s="101"/>
      <c r="E22" s="248"/>
    </row>
    <row r="23" spans="1:5" s="202" customFormat="1" ht="12" customHeight="1">
      <c r="A23" s="195" t="s">
        <v>71</v>
      </c>
      <c r="B23" s="6" t="s">
        <v>307</v>
      </c>
      <c r="C23" s="101"/>
      <c r="D23" s="101"/>
      <c r="E23" s="248">
        <v>251100</v>
      </c>
    </row>
    <row r="24" spans="1:5" s="202" customFormat="1" ht="12" customHeight="1" thickBot="1">
      <c r="A24" s="195" t="s">
        <v>72</v>
      </c>
      <c r="B24" s="6" t="s">
        <v>406</v>
      </c>
      <c r="C24" s="101"/>
      <c r="D24" s="101"/>
      <c r="E24" s="248"/>
    </row>
    <row r="25" spans="1:5" s="202" customFormat="1" ht="12" customHeight="1" thickBot="1">
      <c r="A25" s="69" t="s">
        <v>8</v>
      </c>
      <c r="B25" s="51" t="s">
        <v>114</v>
      </c>
      <c r="C25" s="305"/>
      <c r="D25" s="305"/>
      <c r="E25" s="131"/>
    </row>
    <row r="26" spans="1:5" s="202" customFormat="1" ht="12" customHeight="1" thickBot="1">
      <c r="A26" s="69" t="s">
        <v>9</v>
      </c>
      <c r="B26" s="51" t="s">
        <v>407</v>
      </c>
      <c r="C26" s="104">
        <f>+C27+C28+C29</f>
        <v>0</v>
      </c>
      <c r="D26" s="104">
        <f>+D27+D28+D29</f>
        <v>0</v>
      </c>
      <c r="E26" s="132">
        <f>+E27+E28+E29</f>
        <v>0</v>
      </c>
    </row>
    <row r="27" spans="1:5" s="202" customFormat="1" ht="12" customHeight="1">
      <c r="A27" s="196" t="s">
        <v>174</v>
      </c>
      <c r="B27" s="197" t="s">
        <v>170</v>
      </c>
      <c r="C27" s="255"/>
      <c r="D27" s="255"/>
      <c r="E27" s="253"/>
    </row>
    <row r="28" spans="1:5" s="202" customFormat="1" ht="12" customHeight="1">
      <c r="A28" s="196" t="s">
        <v>175</v>
      </c>
      <c r="B28" s="197" t="s">
        <v>306</v>
      </c>
      <c r="C28" s="101"/>
      <c r="D28" s="101"/>
      <c r="E28" s="248"/>
    </row>
    <row r="29" spans="1:5" s="202" customFormat="1" ht="12" customHeight="1">
      <c r="A29" s="196" t="s">
        <v>176</v>
      </c>
      <c r="B29" s="198" t="s">
        <v>309</v>
      </c>
      <c r="C29" s="101"/>
      <c r="D29" s="101"/>
      <c r="E29" s="248"/>
    </row>
    <row r="30" spans="1:5" s="202" customFormat="1" ht="12" customHeight="1" thickBot="1">
      <c r="A30" s="195" t="s">
        <v>177</v>
      </c>
      <c r="B30" s="56" t="s">
        <v>408</v>
      </c>
      <c r="C30" s="43"/>
      <c r="D30" s="43"/>
      <c r="E30" s="304"/>
    </row>
    <row r="31" spans="1:5" s="202" customFormat="1" ht="12" customHeight="1" thickBot="1">
      <c r="A31" s="69" t="s">
        <v>10</v>
      </c>
      <c r="B31" s="51" t="s">
        <v>310</v>
      </c>
      <c r="C31" s="104">
        <f>+C32+C33+C34</f>
        <v>0</v>
      </c>
      <c r="D31" s="104">
        <f>+D32+D33+D34</f>
        <v>0</v>
      </c>
      <c r="E31" s="132">
        <f>+E32+E33+E34</f>
        <v>0</v>
      </c>
    </row>
    <row r="32" spans="1:5" s="202" customFormat="1" ht="12" customHeight="1">
      <c r="A32" s="196" t="s">
        <v>56</v>
      </c>
      <c r="B32" s="197" t="s">
        <v>197</v>
      </c>
      <c r="C32" s="255"/>
      <c r="D32" s="255"/>
      <c r="E32" s="253"/>
    </row>
    <row r="33" spans="1:5" s="202" customFormat="1" ht="12" customHeight="1">
      <c r="A33" s="196" t="s">
        <v>57</v>
      </c>
      <c r="B33" s="198" t="s">
        <v>198</v>
      </c>
      <c r="C33" s="105"/>
      <c r="D33" s="105"/>
      <c r="E33" s="250"/>
    </row>
    <row r="34" spans="1:5" s="202" customFormat="1" ht="12" customHeight="1" thickBot="1">
      <c r="A34" s="195" t="s">
        <v>58</v>
      </c>
      <c r="B34" s="56" t="s">
        <v>199</v>
      </c>
      <c r="C34" s="43"/>
      <c r="D34" s="43"/>
      <c r="E34" s="304"/>
    </row>
    <row r="35" spans="1:5" s="137" customFormat="1" ht="12" customHeight="1" thickBot="1">
      <c r="A35" s="69" t="s">
        <v>11</v>
      </c>
      <c r="B35" s="51" t="s">
        <v>282</v>
      </c>
      <c r="C35" s="305"/>
      <c r="D35" s="305"/>
      <c r="E35" s="131"/>
    </row>
    <row r="36" spans="1:5" s="137" customFormat="1" ht="12" customHeight="1" thickBot="1">
      <c r="A36" s="69" t="s">
        <v>12</v>
      </c>
      <c r="B36" s="51" t="s">
        <v>311</v>
      </c>
      <c r="C36" s="305"/>
      <c r="D36" s="305"/>
      <c r="E36" s="131"/>
    </row>
    <row r="37" spans="1:5" s="137" customFormat="1" ht="12" customHeight="1" thickBot="1">
      <c r="A37" s="66" t="s">
        <v>13</v>
      </c>
      <c r="B37" s="51" t="s">
        <v>312</v>
      </c>
      <c r="C37" s="104">
        <f>+C8+C20+C25+C26+C31+C35+C36</f>
        <v>34950648</v>
      </c>
      <c r="D37" s="104">
        <f>+D8+D20+D25+D26+D31+D35+D36</f>
        <v>34950648</v>
      </c>
      <c r="E37" s="132">
        <f>+E8+E20+E25+E26+E31+E35+E36</f>
        <v>30756044</v>
      </c>
    </row>
    <row r="38" spans="1:5" s="137" customFormat="1" ht="12" customHeight="1" thickBot="1">
      <c r="A38" s="75" t="s">
        <v>14</v>
      </c>
      <c r="B38" s="51" t="s">
        <v>313</v>
      </c>
      <c r="C38" s="104">
        <f>+C39+C40+C41</f>
        <v>3697358</v>
      </c>
      <c r="D38" s="104">
        <f>+D39+D40+D41</f>
        <v>3454270</v>
      </c>
      <c r="E38" s="132">
        <f>+E39+E40+E41</f>
        <v>3454270</v>
      </c>
    </row>
    <row r="39" spans="1:5" s="137" customFormat="1" ht="12" customHeight="1">
      <c r="A39" s="196" t="s">
        <v>314</v>
      </c>
      <c r="B39" s="197" t="s">
        <v>147</v>
      </c>
      <c r="C39" s="255">
        <v>3697358</v>
      </c>
      <c r="D39" s="255">
        <v>3454270</v>
      </c>
      <c r="E39" s="253">
        <v>3454270</v>
      </c>
    </row>
    <row r="40" spans="1:5" s="137" customFormat="1" ht="12" customHeight="1">
      <c r="A40" s="196" t="s">
        <v>315</v>
      </c>
      <c r="B40" s="198" t="s">
        <v>0</v>
      </c>
      <c r="C40" s="105"/>
      <c r="D40" s="105"/>
      <c r="E40" s="250"/>
    </row>
    <row r="41" spans="1:5" s="202" customFormat="1" ht="12" customHeight="1" thickBot="1">
      <c r="A41" s="195" t="s">
        <v>316</v>
      </c>
      <c r="B41" s="56" t="s">
        <v>317</v>
      </c>
      <c r="C41" s="43"/>
      <c r="D41" s="43"/>
      <c r="E41" s="304"/>
    </row>
    <row r="42" spans="1:5" s="202" customFormat="1" ht="15" customHeight="1" thickBot="1">
      <c r="A42" s="75" t="s">
        <v>15</v>
      </c>
      <c r="B42" s="76" t="s">
        <v>318</v>
      </c>
      <c r="C42" s="306">
        <f>+C37+C38</f>
        <v>38648006</v>
      </c>
      <c r="D42" s="306">
        <f>+D37+D38</f>
        <v>38404918</v>
      </c>
      <c r="E42" s="135">
        <f>+E37+E38</f>
        <v>34210314</v>
      </c>
    </row>
    <row r="43" spans="1:3" s="202" customFormat="1" ht="15" customHeight="1">
      <c r="A43" s="77"/>
      <c r="B43" s="78"/>
      <c r="C43" s="133"/>
    </row>
    <row r="44" spans="1:3" ht="13.5" thickBot="1">
      <c r="A44" s="79"/>
      <c r="B44" s="80"/>
      <c r="C44" s="134"/>
    </row>
    <row r="45" spans="1:5" s="201" customFormat="1" ht="16.5" customHeight="1" thickBot="1">
      <c r="A45" s="891" t="s">
        <v>41</v>
      </c>
      <c r="B45" s="892"/>
      <c r="C45" s="892"/>
      <c r="D45" s="892"/>
      <c r="E45" s="893"/>
    </row>
    <row r="46" spans="1:5" s="203" customFormat="1" ht="12" customHeight="1" thickBot="1">
      <c r="A46" s="69" t="s">
        <v>6</v>
      </c>
      <c r="B46" s="51" t="s">
        <v>319</v>
      </c>
      <c r="C46" s="104">
        <f>SUM(C47:C51)</f>
        <v>286201587</v>
      </c>
      <c r="D46" s="104">
        <f>SUM(D47:D51)</f>
        <v>289273965</v>
      </c>
      <c r="E46" s="132">
        <f>SUM(E47:E51)</f>
        <v>239893367</v>
      </c>
    </row>
    <row r="47" spans="1:5" ht="12" customHeight="1">
      <c r="A47" s="195" t="s">
        <v>63</v>
      </c>
      <c r="B47" s="7" t="s">
        <v>35</v>
      </c>
      <c r="C47" s="255">
        <v>125040022</v>
      </c>
      <c r="D47" s="255">
        <v>125678409</v>
      </c>
      <c r="E47" s="253">
        <v>111367753</v>
      </c>
    </row>
    <row r="48" spans="1:5" ht="12" customHeight="1">
      <c r="A48" s="195" t="s">
        <v>64</v>
      </c>
      <c r="B48" s="6" t="s">
        <v>123</v>
      </c>
      <c r="C48" s="42">
        <v>21741100</v>
      </c>
      <c r="D48" s="42">
        <v>21417417</v>
      </c>
      <c r="E48" s="251">
        <v>17110497</v>
      </c>
    </row>
    <row r="49" spans="1:5" ht="12" customHeight="1">
      <c r="A49" s="195" t="s">
        <v>65</v>
      </c>
      <c r="B49" s="6" t="s">
        <v>91</v>
      </c>
      <c r="C49" s="42">
        <v>139420465</v>
      </c>
      <c r="D49" s="42">
        <v>142178139</v>
      </c>
      <c r="E49" s="251">
        <v>111415117</v>
      </c>
    </row>
    <row r="50" spans="1:5" ht="12" customHeight="1">
      <c r="A50" s="195" t="s">
        <v>66</v>
      </c>
      <c r="B50" s="6" t="s">
        <v>124</v>
      </c>
      <c r="C50" s="42"/>
      <c r="D50" s="42"/>
      <c r="E50" s="251"/>
    </row>
    <row r="51" spans="1:5" ht="12" customHeight="1" thickBot="1">
      <c r="A51" s="195" t="s">
        <v>98</v>
      </c>
      <c r="B51" s="6" t="s">
        <v>125</v>
      </c>
      <c r="C51" s="42"/>
      <c r="D51" s="42"/>
      <c r="E51" s="251"/>
    </row>
    <row r="52" spans="1:5" ht="12" customHeight="1" thickBot="1">
      <c r="A52" s="69" t="s">
        <v>7</v>
      </c>
      <c r="B52" s="51" t="s">
        <v>320</v>
      </c>
      <c r="C52" s="104">
        <f>SUM(C53:C55)</f>
        <v>31882000</v>
      </c>
      <c r="D52" s="104">
        <f>SUM(D53:D55)</f>
        <v>31506343</v>
      </c>
      <c r="E52" s="132">
        <f>SUM(E53:E55)</f>
        <v>25610016</v>
      </c>
    </row>
    <row r="53" spans="1:5" s="203" customFormat="1" ht="12" customHeight="1">
      <c r="A53" s="195" t="s">
        <v>69</v>
      </c>
      <c r="B53" s="7" t="s">
        <v>140</v>
      </c>
      <c r="C53" s="255">
        <v>22820000</v>
      </c>
      <c r="D53" s="255">
        <v>30631357</v>
      </c>
      <c r="E53" s="253">
        <v>25502256</v>
      </c>
    </row>
    <row r="54" spans="1:5" ht="12" customHeight="1">
      <c r="A54" s="195" t="s">
        <v>70</v>
      </c>
      <c r="B54" s="6" t="s">
        <v>127</v>
      </c>
      <c r="C54" s="42">
        <v>9062000</v>
      </c>
      <c r="D54" s="42">
        <v>874986</v>
      </c>
      <c r="E54" s="251">
        <v>107760</v>
      </c>
    </row>
    <row r="55" spans="1:5" ht="12" customHeight="1">
      <c r="A55" s="195" t="s">
        <v>71</v>
      </c>
      <c r="B55" s="6" t="s">
        <v>42</v>
      </c>
      <c r="C55" s="42"/>
      <c r="D55" s="42"/>
      <c r="E55" s="251"/>
    </row>
    <row r="56" spans="1:5" ht="12" customHeight="1" thickBot="1">
      <c r="A56" s="195" t="s">
        <v>72</v>
      </c>
      <c r="B56" s="6" t="s">
        <v>409</v>
      </c>
      <c r="C56" s="42"/>
      <c r="D56" s="42"/>
      <c r="E56" s="251"/>
    </row>
    <row r="57" spans="1:5" ht="12" customHeight="1" thickBot="1">
      <c r="A57" s="69" t="s">
        <v>8</v>
      </c>
      <c r="B57" s="51" t="s">
        <v>2</v>
      </c>
      <c r="C57" s="305"/>
      <c r="D57" s="305"/>
      <c r="E57" s="131"/>
    </row>
    <row r="58" spans="1:5" ht="15" customHeight="1" thickBot="1">
      <c r="A58" s="69" t="s">
        <v>9</v>
      </c>
      <c r="B58" s="81" t="s">
        <v>413</v>
      </c>
      <c r="C58" s="306">
        <f>+C46+C52+C57</f>
        <v>318083587</v>
      </c>
      <c r="D58" s="306">
        <f>+D46+D52+D57</f>
        <v>320780308</v>
      </c>
      <c r="E58" s="135">
        <f>+E46+E52+E57</f>
        <v>265503383</v>
      </c>
    </row>
    <row r="59" spans="3:5" ht="13.5" thickBot="1">
      <c r="C59" s="546">
        <f>C42-C58</f>
        <v>-279435581</v>
      </c>
      <c r="D59" s="546">
        <f>D42-D58</f>
        <v>-282375390</v>
      </c>
      <c r="E59" s="136"/>
    </row>
    <row r="60" spans="1:5" ht="15" customHeight="1" thickBot="1">
      <c r="A60" s="311" t="s">
        <v>488</v>
      </c>
      <c r="B60" s="312"/>
      <c r="C60" s="300">
        <v>33</v>
      </c>
      <c r="D60" s="300">
        <v>33</v>
      </c>
      <c r="E60" s="299">
        <v>33</v>
      </c>
    </row>
    <row r="61" spans="1:5" ht="14.25" customHeight="1" thickBot="1">
      <c r="A61" s="313" t="s">
        <v>489</v>
      </c>
      <c r="B61" s="314"/>
      <c r="C61" s="300">
        <v>0</v>
      </c>
      <c r="D61" s="300">
        <v>0</v>
      </c>
      <c r="E61" s="299">
        <v>0</v>
      </c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61"/>
  <sheetViews>
    <sheetView view="pageBreakPreview" zoomScale="60" zoomScaleNormal="120" workbookViewId="0" topLeftCell="A1">
      <selection activeCell="B2" sqref="B2:D2"/>
    </sheetView>
  </sheetViews>
  <sheetFormatPr defaultColWidth="9.00390625" defaultRowHeight="12.75"/>
  <cols>
    <col min="1" max="1" width="13.00390625" style="82" customWidth="1"/>
    <col min="2" max="2" width="59.00390625" style="83" customWidth="1"/>
    <col min="3" max="5" width="15.875" style="83" customWidth="1"/>
    <col min="6" max="16384" width="9.375" style="83" customWidth="1"/>
  </cols>
  <sheetData>
    <row r="1" spans="1:5" s="73" customFormat="1" ht="16.5" thickBot="1">
      <c r="A1" s="358"/>
      <c r="B1" s="895" t="s">
        <v>1253</v>
      </c>
      <c r="C1" s="896"/>
      <c r="D1" s="896"/>
      <c r="E1" s="896"/>
    </row>
    <row r="2" spans="1:5" s="199" customFormat="1" ht="24.75" thickBot="1">
      <c r="A2" s="359" t="s">
        <v>455</v>
      </c>
      <c r="B2" s="897" t="str">
        <f>CONCATENATE('[1]Z_6.2.sz.mell'!B2:D2)</f>
        <v>Balatonvilágos Község Önkormányzat Gazdasági Ellátó és Vagyongazdálkodó Szervezete</v>
      </c>
      <c r="C2" s="898"/>
      <c r="D2" s="899"/>
      <c r="E2" s="360" t="s">
        <v>43</v>
      </c>
    </row>
    <row r="3" spans="1:5" s="199" customFormat="1" ht="24.75" thickBot="1">
      <c r="A3" s="359" t="s">
        <v>136</v>
      </c>
      <c r="B3" s="897" t="s">
        <v>321</v>
      </c>
      <c r="C3" s="898"/>
      <c r="D3" s="899"/>
      <c r="E3" s="360" t="s">
        <v>43</v>
      </c>
    </row>
    <row r="4" spans="1:5" s="200" customFormat="1" ht="15.75" customHeight="1" thickBot="1">
      <c r="A4" s="361"/>
      <c r="B4" s="361"/>
      <c r="C4" s="362"/>
      <c r="D4" s="363"/>
      <c r="E4" s="362" t="str">
        <f>'[1]Z_6.2.sz.mell'!E4</f>
        <v> Forintban!</v>
      </c>
    </row>
    <row r="5" spans="1:5" ht="24.75" thickBot="1">
      <c r="A5" s="364" t="s">
        <v>137</v>
      </c>
      <c r="B5" s="365" t="s">
        <v>487</v>
      </c>
      <c r="C5" s="365" t="s">
        <v>453</v>
      </c>
      <c r="D5" s="366" t="s">
        <v>454</v>
      </c>
      <c r="E5" s="347" t="str">
        <f>CONCATENATE('[2]12'!E5)</f>
        <v>Teljesítés
2021. XII. 31.</v>
      </c>
    </row>
    <row r="6" spans="1:5" s="201" customFormat="1" ht="12.75" customHeight="1" thickBot="1">
      <c r="A6" s="397" t="s">
        <v>384</v>
      </c>
      <c r="B6" s="398" t="s">
        <v>385</v>
      </c>
      <c r="C6" s="398" t="s">
        <v>386</v>
      </c>
      <c r="D6" s="399" t="s">
        <v>388</v>
      </c>
      <c r="E6" s="400" t="s">
        <v>387</v>
      </c>
    </row>
    <row r="7" spans="1:5" s="201" customFormat="1" ht="15.75" customHeight="1" thickBot="1">
      <c r="A7" s="891" t="s">
        <v>40</v>
      </c>
      <c r="B7" s="892"/>
      <c r="C7" s="892"/>
      <c r="D7" s="892"/>
      <c r="E7" s="893"/>
    </row>
    <row r="8" spans="1:5" s="137" customFormat="1" ht="12" customHeight="1" thickBot="1">
      <c r="A8" s="66" t="s">
        <v>6</v>
      </c>
      <c r="B8" s="74" t="s">
        <v>405</v>
      </c>
      <c r="C8" s="104">
        <f>SUM(C9:C19)</f>
        <v>32761422</v>
      </c>
      <c r="D8" s="104">
        <f>SUM(D9:D19)</f>
        <v>32761422</v>
      </c>
      <c r="E8" s="132">
        <f>SUM(E9:E19)</f>
        <v>26141825</v>
      </c>
    </row>
    <row r="9" spans="1:5" s="137" customFormat="1" ht="12" customHeight="1">
      <c r="A9" s="194" t="s">
        <v>63</v>
      </c>
      <c r="B9" s="8" t="s">
        <v>183</v>
      </c>
      <c r="C9" s="256"/>
      <c r="D9" s="256"/>
      <c r="E9" s="303"/>
    </row>
    <row r="10" spans="1:5" s="137" customFormat="1" ht="12" customHeight="1">
      <c r="A10" s="195" t="s">
        <v>64</v>
      </c>
      <c r="B10" s="6" t="s">
        <v>184</v>
      </c>
      <c r="C10" s="101">
        <v>15627600</v>
      </c>
      <c r="D10" s="101">
        <v>15627600</v>
      </c>
      <c r="E10" s="248">
        <v>12629605</v>
      </c>
    </row>
    <row r="11" spans="1:5" s="137" customFormat="1" ht="12" customHeight="1">
      <c r="A11" s="195" t="s">
        <v>65</v>
      </c>
      <c r="B11" s="6" t="s">
        <v>185</v>
      </c>
      <c r="C11" s="101">
        <v>3600000</v>
      </c>
      <c r="D11" s="101">
        <v>3600000</v>
      </c>
      <c r="E11" s="248">
        <v>3084934</v>
      </c>
    </row>
    <row r="12" spans="1:5" s="137" customFormat="1" ht="12" customHeight="1">
      <c r="A12" s="195" t="s">
        <v>66</v>
      </c>
      <c r="B12" s="6" t="s">
        <v>186</v>
      </c>
      <c r="C12" s="101"/>
      <c r="D12" s="101"/>
      <c r="E12" s="248"/>
    </row>
    <row r="13" spans="1:5" s="137" customFormat="1" ht="12" customHeight="1">
      <c r="A13" s="195" t="s">
        <v>98</v>
      </c>
      <c r="B13" s="6" t="s">
        <v>187</v>
      </c>
      <c r="C13" s="101">
        <v>8099425</v>
      </c>
      <c r="D13" s="101">
        <v>8099425</v>
      </c>
      <c r="E13" s="248">
        <v>6060793</v>
      </c>
    </row>
    <row r="14" spans="1:5" s="137" customFormat="1" ht="12" customHeight="1">
      <c r="A14" s="195" t="s">
        <v>67</v>
      </c>
      <c r="B14" s="6" t="s">
        <v>303</v>
      </c>
      <c r="C14" s="101">
        <v>5434397</v>
      </c>
      <c r="D14" s="101">
        <v>5434397</v>
      </c>
      <c r="E14" s="248">
        <v>4308671</v>
      </c>
    </row>
    <row r="15" spans="1:5" s="137" customFormat="1" ht="12" customHeight="1">
      <c r="A15" s="195" t="s">
        <v>68</v>
      </c>
      <c r="B15" s="5" t="s">
        <v>304</v>
      </c>
      <c r="C15" s="101"/>
      <c r="D15" s="101"/>
      <c r="E15" s="248"/>
    </row>
    <row r="16" spans="1:5" s="137" customFormat="1" ht="12" customHeight="1">
      <c r="A16" s="195" t="s">
        <v>76</v>
      </c>
      <c r="B16" s="6" t="s">
        <v>190</v>
      </c>
      <c r="C16" s="254"/>
      <c r="D16" s="254"/>
      <c r="E16" s="252">
        <v>11</v>
      </c>
    </row>
    <row r="17" spans="1:5" s="202" customFormat="1" ht="12" customHeight="1">
      <c r="A17" s="195" t="s">
        <v>77</v>
      </c>
      <c r="B17" s="6" t="s">
        <v>191</v>
      </c>
      <c r="C17" s="101"/>
      <c r="D17" s="101"/>
      <c r="E17" s="248"/>
    </row>
    <row r="18" spans="1:5" s="202" customFormat="1" ht="12" customHeight="1">
      <c r="A18" s="195" t="s">
        <v>78</v>
      </c>
      <c r="B18" s="6" t="s">
        <v>336</v>
      </c>
      <c r="C18" s="103"/>
      <c r="D18" s="103"/>
      <c r="E18" s="249"/>
    </row>
    <row r="19" spans="1:5" s="202" customFormat="1" ht="12" customHeight="1" thickBot="1">
      <c r="A19" s="195" t="s">
        <v>79</v>
      </c>
      <c r="B19" s="5" t="s">
        <v>192</v>
      </c>
      <c r="C19" s="103"/>
      <c r="D19" s="103"/>
      <c r="E19" s="249">
        <v>57811</v>
      </c>
    </row>
    <row r="20" spans="1:5" s="137" customFormat="1" ht="12" customHeight="1" thickBot="1">
      <c r="A20" s="66" t="s">
        <v>7</v>
      </c>
      <c r="B20" s="74" t="s">
        <v>305</v>
      </c>
      <c r="C20" s="104">
        <f>SUM(C21:C23)</f>
        <v>0</v>
      </c>
      <c r="D20" s="104">
        <f>SUM(D21:D23)</f>
        <v>0</v>
      </c>
      <c r="E20" s="132">
        <f>SUM(E21:E23)</f>
        <v>251100</v>
      </c>
    </row>
    <row r="21" spans="1:5" s="202" customFormat="1" ht="12" customHeight="1">
      <c r="A21" s="195" t="s">
        <v>69</v>
      </c>
      <c r="B21" s="7" t="s">
        <v>165</v>
      </c>
      <c r="C21" s="101"/>
      <c r="D21" s="101"/>
      <c r="E21" s="248"/>
    </row>
    <row r="22" spans="1:5" s="202" customFormat="1" ht="12" customHeight="1">
      <c r="A22" s="195" t="s">
        <v>70</v>
      </c>
      <c r="B22" s="6" t="s">
        <v>306</v>
      </c>
      <c r="C22" s="101"/>
      <c r="D22" s="101"/>
      <c r="E22" s="248"/>
    </row>
    <row r="23" spans="1:5" s="202" customFormat="1" ht="12" customHeight="1">
      <c r="A23" s="195" t="s">
        <v>71</v>
      </c>
      <c r="B23" s="6" t="s">
        <v>307</v>
      </c>
      <c r="C23" s="101"/>
      <c r="D23" s="101"/>
      <c r="E23" s="248">
        <v>251100</v>
      </c>
    </row>
    <row r="24" spans="1:5" s="202" customFormat="1" ht="12" customHeight="1" thickBot="1">
      <c r="A24" s="195" t="s">
        <v>72</v>
      </c>
      <c r="B24" s="6" t="s">
        <v>406</v>
      </c>
      <c r="C24" s="101"/>
      <c r="D24" s="101"/>
      <c r="E24" s="248"/>
    </row>
    <row r="25" spans="1:5" s="202" customFormat="1" ht="12" customHeight="1" thickBot="1">
      <c r="A25" s="69" t="s">
        <v>8</v>
      </c>
      <c r="B25" s="51" t="s">
        <v>114</v>
      </c>
      <c r="C25" s="305"/>
      <c r="D25" s="305"/>
      <c r="E25" s="131"/>
    </row>
    <row r="26" spans="1:5" s="202" customFormat="1" ht="12" customHeight="1" thickBot="1">
      <c r="A26" s="69" t="s">
        <v>9</v>
      </c>
      <c r="B26" s="51" t="s">
        <v>407</v>
      </c>
      <c r="C26" s="104">
        <f>+C27+C28+C29</f>
        <v>0</v>
      </c>
      <c r="D26" s="104">
        <f>+D27+D28+D29</f>
        <v>0</v>
      </c>
      <c r="E26" s="132">
        <f>+E27+E28+E29</f>
        <v>0</v>
      </c>
    </row>
    <row r="27" spans="1:5" s="202" customFormat="1" ht="12" customHeight="1">
      <c r="A27" s="196" t="s">
        <v>174</v>
      </c>
      <c r="B27" s="197" t="s">
        <v>170</v>
      </c>
      <c r="C27" s="255"/>
      <c r="D27" s="255"/>
      <c r="E27" s="253"/>
    </row>
    <row r="28" spans="1:5" s="202" customFormat="1" ht="12" customHeight="1">
      <c r="A28" s="196" t="s">
        <v>175</v>
      </c>
      <c r="B28" s="197" t="s">
        <v>306</v>
      </c>
      <c r="C28" s="101"/>
      <c r="D28" s="101"/>
      <c r="E28" s="248"/>
    </row>
    <row r="29" spans="1:5" s="202" customFormat="1" ht="12" customHeight="1">
      <c r="A29" s="196" t="s">
        <v>176</v>
      </c>
      <c r="B29" s="198" t="s">
        <v>309</v>
      </c>
      <c r="C29" s="101"/>
      <c r="D29" s="101"/>
      <c r="E29" s="248"/>
    </row>
    <row r="30" spans="1:5" s="202" customFormat="1" ht="12" customHeight="1" thickBot="1">
      <c r="A30" s="195" t="s">
        <v>177</v>
      </c>
      <c r="B30" s="56" t="s">
        <v>408</v>
      </c>
      <c r="C30" s="43"/>
      <c r="D30" s="43"/>
      <c r="E30" s="304"/>
    </row>
    <row r="31" spans="1:5" s="202" customFormat="1" ht="12" customHeight="1" thickBot="1">
      <c r="A31" s="69" t="s">
        <v>10</v>
      </c>
      <c r="B31" s="51" t="s">
        <v>310</v>
      </c>
      <c r="C31" s="104">
        <f>+C32+C33+C34</f>
        <v>0</v>
      </c>
      <c r="D31" s="104">
        <f>+D32+D33+D34</f>
        <v>0</v>
      </c>
      <c r="E31" s="132">
        <f>+E32+E33+E34</f>
        <v>0</v>
      </c>
    </row>
    <row r="32" spans="1:5" s="202" customFormat="1" ht="12" customHeight="1">
      <c r="A32" s="196" t="s">
        <v>56</v>
      </c>
      <c r="B32" s="197" t="s">
        <v>197</v>
      </c>
      <c r="C32" s="255"/>
      <c r="D32" s="255"/>
      <c r="E32" s="253"/>
    </row>
    <row r="33" spans="1:5" s="202" customFormat="1" ht="12" customHeight="1">
      <c r="A33" s="196" t="s">
        <v>57</v>
      </c>
      <c r="B33" s="198" t="s">
        <v>198</v>
      </c>
      <c r="C33" s="105"/>
      <c r="D33" s="105"/>
      <c r="E33" s="250"/>
    </row>
    <row r="34" spans="1:5" s="202" customFormat="1" ht="12" customHeight="1" thickBot="1">
      <c r="A34" s="195" t="s">
        <v>58</v>
      </c>
      <c r="B34" s="56" t="s">
        <v>199</v>
      </c>
      <c r="C34" s="43"/>
      <c r="D34" s="43"/>
      <c r="E34" s="304"/>
    </row>
    <row r="35" spans="1:5" s="137" customFormat="1" ht="12" customHeight="1" thickBot="1">
      <c r="A35" s="69" t="s">
        <v>11</v>
      </c>
      <c r="B35" s="51" t="s">
        <v>282</v>
      </c>
      <c r="C35" s="305"/>
      <c r="D35" s="305"/>
      <c r="E35" s="131"/>
    </row>
    <row r="36" spans="1:5" s="137" customFormat="1" ht="12" customHeight="1" thickBot="1">
      <c r="A36" s="69" t="s">
        <v>12</v>
      </c>
      <c r="B36" s="51" t="s">
        <v>311</v>
      </c>
      <c r="C36" s="305"/>
      <c r="D36" s="305"/>
      <c r="E36" s="131"/>
    </row>
    <row r="37" spans="1:5" s="137" customFormat="1" ht="12" customHeight="1" thickBot="1">
      <c r="A37" s="66" t="s">
        <v>13</v>
      </c>
      <c r="B37" s="51" t="s">
        <v>312</v>
      </c>
      <c r="C37" s="104">
        <f>+C8+C20+C25+C26+C31+C35+C36</f>
        <v>32761422</v>
      </c>
      <c r="D37" s="104">
        <f>+D8+D20+D25+D26+D31+D35+D36</f>
        <v>32761422</v>
      </c>
      <c r="E37" s="132">
        <f>+E8+E20+E25+E26+E31+E35+E36</f>
        <v>26392925</v>
      </c>
    </row>
    <row r="38" spans="1:5" s="137" customFormat="1" ht="12" customHeight="1" thickBot="1">
      <c r="A38" s="75" t="s">
        <v>14</v>
      </c>
      <c r="B38" s="51" t="s">
        <v>313</v>
      </c>
      <c r="C38" s="104">
        <f>+C39+C40+C41</f>
        <v>3697358</v>
      </c>
      <c r="D38" s="104">
        <f>+D39+D40+D41</f>
        <v>3454270</v>
      </c>
      <c r="E38" s="132">
        <f>+E39+E40+E41</f>
        <v>3454270</v>
      </c>
    </row>
    <row r="39" spans="1:5" s="137" customFormat="1" ht="12" customHeight="1">
      <c r="A39" s="196" t="s">
        <v>314</v>
      </c>
      <c r="B39" s="197" t="s">
        <v>147</v>
      </c>
      <c r="C39" s="255">
        <v>3697358</v>
      </c>
      <c r="D39" s="255">
        <v>3454270</v>
      </c>
      <c r="E39" s="253">
        <v>3454270</v>
      </c>
    </row>
    <row r="40" spans="1:5" s="137" customFormat="1" ht="12" customHeight="1">
      <c r="A40" s="196" t="s">
        <v>315</v>
      </c>
      <c r="B40" s="198" t="s">
        <v>0</v>
      </c>
      <c r="C40" s="105"/>
      <c r="D40" s="105"/>
      <c r="E40" s="250"/>
    </row>
    <row r="41" spans="1:5" s="202" customFormat="1" ht="12" customHeight="1" thickBot="1">
      <c r="A41" s="195" t="s">
        <v>316</v>
      </c>
      <c r="B41" s="56" t="s">
        <v>317</v>
      </c>
      <c r="C41" s="43"/>
      <c r="D41" s="43"/>
      <c r="E41" s="304"/>
    </row>
    <row r="42" spans="1:5" s="202" customFormat="1" ht="15" customHeight="1" thickBot="1">
      <c r="A42" s="75" t="s">
        <v>15</v>
      </c>
      <c r="B42" s="76" t="s">
        <v>318</v>
      </c>
      <c r="C42" s="306">
        <f>+C37+C38</f>
        <v>36458780</v>
      </c>
      <c r="D42" s="306">
        <f>+D37+D38</f>
        <v>36215692</v>
      </c>
      <c r="E42" s="135">
        <f>+E37+E38</f>
        <v>29847195</v>
      </c>
    </row>
    <row r="43" spans="1:3" s="202" customFormat="1" ht="15" customHeight="1">
      <c r="A43" s="77"/>
      <c r="B43" s="78"/>
      <c r="C43" s="133"/>
    </row>
    <row r="44" spans="1:3" ht="13.5" thickBot="1">
      <c r="A44" s="79"/>
      <c r="B44" s="80"/>
      <c r="C44" s="134"/>
    </row>
    <row r="45" spans="1:5" s="201" customFormat="1" ht="16.5" customHeight="1" thickBot="1">
      <c r="A45" s="891" t="s">
        <v>41</v>
      </c>
      <c r="B45" s="892"/>
      <c r="C45" s="892"/>
      <c r="D45" s="892"/>
      <c r="E45" s="893"/>
    </row>
    <row r="46" spans="1:5" s="203" customFormat="1" ht="12" customHeight="1" thickBot="1">
      <c r="A46" s="69" t="s">
        <v>6</v>
      </c>
      <c r="B46" s="51" t="s">
        <v>319</v>
      </c>
      <c r="C46" s="104">
        <f>SUM(C47:C51)</f>
        <v>286201587</v>
      </c>
      <c r="D46" s="104">
        <f>SUM(D47:D51)</f>
        <v>284466779</v>
      </c>
      <c r="E46" s="132">
        <f>SUM(E47:E51)</f>
        <v>235086183</v>
      </c>
    </row>
    <row r="47" spans="1:5" ht="12" customHeight="1">
      <c r="A47" s="195" t="s">
        <v>63</v>
      </c>
      <c r="B47" s="7" t="s">
        <v>35</v>
      </c>
      <c r="C47" s="255">
        <v>125040022</v>
      </c>
      <c r="D47" s="255">
        <v>125678409</v>
      </c>
      <c r="E47" s="253">
        <v>111367753</v>
      </c>
    </row>
    <row r="48" spans="1:5" ht="12" customHeight="1">
      <c r="A48" s="195" t="s">
        <v>64</v>
      </c>
      <c r="B48" s="6" t="s">
        <v>123</v>
      </c>
      <c r="C48" s="42">
        <v>21741100</v>
      </c>
      <c r="D48" s="42">
        <v>21417417</v>
      </c>
      <c r="E48" s="251">
        <v>17110497</v>
      </c>
    </row>
    <row r="49" spans="1:5" ht="12" customHeight="1">
      <c r="A49" s="195" t="s">
        <v>65</v>
      </c>
      <c r="B49" s="6" t="s">
        <v>91</v>
      </c>
      <c r="C49" s="42">
        <v>139420465</v>
      </c>
      <c r="D49" s="42">
        <v>137370953</v>
      </c>
      <c r="E49" s="251">
        <v>106607933</v>
      </c>
    </row>
    <row r="50" spans="1:5" ht="12" customHeight="1">
      <c r="A50" s="195" t="s">
        <v>66</v>
      </c>
      <c r="B50" s="6" t="s">
        <v>124</v>
      </c>
      <c r="C50" s="42"/>
      <c r="D50" s="42"/>
      <c r="E50" s="251"/>
    </row>
    <row r="51" spans="1:5" ht="12" customHeight="1" thickBot="1">
      <c r="A51" s="195" t="s">
        <v>98</v>
      </c>
      <c r="B51" s="6" t="s">
        <v>125</v>
      </c>
      <c r="C51" s="42"/>
      <c r="D51" s="42"/>
      <c r="E51" s="251"/>
    </row>
    <row r="52" spans="1:5" ht="12" customHeight="1" thickBot="1">
      <c r="A52" s="69" t="s">
        <v>7</v>
      </c>
      <c r="B52" s="51" t="s">
        <v>320</v>
      </c>
      <c r="C52" s="104">
        <f>SUM(C53:C55)</f>
        <v>31882000</v>
      </c>
      <c r="D52" s="104">
        <f>SUM(D53:D55)</f>
        <v>31506343</v>
      </c>
      <c r="E52" s="132">
        <f>SUM(E53:E55)</f>
        <v>25610016</v>
      </c>
    </row>
    <row r="53" spans="1:5" s="203" customFormat="1" ht="12" customHeight="1">
      <c r="A53" s="195" t="s">
        <v>69</v>
      </c>
      <c r="B53" s="7" t="s">
        <v>140</v>
      </c>
      <c r="C53" s="255">
        <v>22820000</v>
      </c>
      <c r="D53" s="255">
        <v>30631357</v>
      </c>
      <c r="E53" s="253">
        <v>25502256</v>
      </c>
    </row>
    <row r="54" spans="1:5" ht="12" customHeight="1">
      <c r="A54" s="195" t="s">
        <v>70</v>
      </c>
      <c r="B54" s="6" t="s">
        <v>127</v>
      </c>
      <c r="C54" s="42">
        <v>9062000</v>
      </c>
      <c r="D54" s="42">
        <v>874986</v>
      </c>
      <c r="E54" s="251">
        <v>107760</v>
      </c>
    </row>
    <row r="55" spans="1:5" ht="12" customHeight="1">
      <c r="A55" s="195" t="s">
        <v>71</v>
      </c>
      <c r="B55" s="6" t="s">
        <v>42</v>
      </c>
      <c r="C55" s="42"/>
      <c r="D55" s="42"/>
      <c r="E55" s="251"/>
    </row>
    <row r="56" spans="1:5" ht="12" customHeight="1" thickBot="1">
      <c r="A56" s="195" t="s">
        <v>72</v>
      </c>
      <c r="B56" s="6" t="s">
        <v>409</v>
      </c>
      <c r="C56" s="42"/>
      <c r="D56" s="42"/>
      <c r="E56" s="251"/>
    </row>
    <row r="57" spans="1:5" ht="12" customHeight="1" thickBot="1">
      <c r="A57" s="69" t="s">
        <v>8</v>
      </c>
      <c r="B57" s="51" t="s">
        <v>2</v>
      </c>
      <c r="C57" s="305"/>
      <c r="D57" s="305"/>
      <c r="E57" s="131"/>
    </row>
    <row r="58" spans="1:5" ht="15" customHeight="1" thickBot="1">
      <c r="A58" s="69" t="s">
        <v>9</v>
      </c>
      <c r="B58" s="81" t="s">
        <v>413</v>
      </c>
      <c r="C58" s="306">
        <f>+C46+C52+C57</f>
        <v>318083587</v>
      </c>
      <c r="D58" s="306">
        <f>+D46+D52+D57</f>
        <v>315973122</v>
      </c>
      <c r="E58" s="135">
        <f>+E46+E52+E57</f>
        <v>260696199</v>
      </c>
    </row>
    <row r="59" spans="3:5" ht="13.5" thickBot="1">
      <c r="C59" s="546">
        <f>C42-C58</f>
        <v>-281624807</v>
      </c>
      <c r="D59" s="546">
        <f>D42-D58</f>
        <v>-279757430</v>
      </c>
      <c r="E59" s="136"/>
    </row>
    <row r="60" spans="1:5" ht="15" customHeight="1" thickBot="1">
      <c r="A60" s="311" t="s">
        <v>488</v>
      </c>
      <c r="B60" s="312"/>
      <c r="C60" s="300">
        <v>33</v>
      </c>
      <c r="D60" s="300">
        <v>33</v>
      </c>
      <c r="E60" s="299">
        <v>33</v>
      </c>
    </row>
    <row r="61" spans="1:5" ht="14.25" customHeight="1" thickBot="1">
      <c r="A61" s="313" t="s">
        <v>489</v>
      </c>
      <c r="B61" s="314"/>
      <c r="C61" s="300">
        <v>0</v>
      </c>
      <c r="D61" s="300">
        <v>0</v>
      </c>
      <c r="E61" s="299">
        <v>0</v>
      </c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="120" zoomScaleNormal="120" zoomScalePageLayoutView="0" workbookViewId="0" topLeftCell="A1">
      <selection activeCell="J12" sqref="J12"/>
    </sheetView>
  </sheetViews>
  <sheetFormatPr defaultColWidth="9.00390625" defaultRowHeight="12.75"/>
  <cols>
    <col min="1" max="1" width="43.375" style="0" customWidth="1"/>
    <col min="2" max="2" width="79.875" style="0" customWidth="1"/>
    <col min="3" max="3" width="1.37890625" style="0" bestFit="1" customWidth="1"/>
    <col min="4" max="4" width="6.875" style="0" customWidth="1"/>
    <col min="5" max="5" width="1.4921875" style="0" bestFit="1" customWidth="1"/>
    <col min="7" max="7" width="1.4921875" style="0" bestFit="1" customWidth="1"/>
  </cols>
  <sheetData>
    <row r="1" spans="2:3" ht="12.75">
      <c r="B1">
        <v>2021</v>
      </c>
      <c r="C1" t="s">
        <v>610</v>
      </c>
    </row>
    <row r="2" spans="1:6" ht="15.75">
      <c r="A2" s="822" t="s">
        <v>496</v>
      </c>
      <c r="B2" s="822"/>
      <c r="C2" s="822"/>
      <c r="D2" s="822"/>
      <c r="E2" s="822"/>
      <c r="F2" s="822"/>
    </row>
    <row r="3" spans="1:7" ht="15.75">
      <c r="A3" s="825" t="s">
        <v>620</v>
      </c>
      <c r="B3" s="825"/>
      <c r="C3" s="825"/>
      <c r="D3" s="825"/>
      <c r="E3" s="825"/>
      <c r="F3" s="825"/>
      <c r="G3" s="825"/>
    </row>
    <row r="6" ht="15">
      <c r="A6" s="348" t="s">
        <v>720</v>
      </c>
    </row>
    <row r="7" spans="1:8" ht="12.75">
      <c r="A7" s="545" t="s">
        <v>590</v>
      </c>
      <c r="B7" s="578">
        <v>3</v>
      </c>
      <c r="C7" t="s">
        <v>591</v>
      </c>
      <c r="D7" t="s">
        <v>676</v>
      </c>
      <c r="E7" t="s">
        <v>592</v>
      </c>
      <c r="F7" s="578" t="s">
        <v>1249</v>
      </c>
      <c r="G7" t="s">
        <v>593</v>
      </c>
      <c r="H7" t="s">
        <v>594</v>
      </c>
    </row>
    <row r="8" spans="1:6" ht="12.75">
      <c r="A8" s="545"/>
      <c r="B8" s="401"/>
      <c r="F8" s="401"/>
    </row>
    <row r="9" spans="1:6" ht="12.75">
      <c r="A9" s="545"/>
      <c r="B9" s="401"/>
      <c r="F9" s="401"/>
    </row>
    <row r="11" spans="1:7" ht="15.75">
      <c r="A11" s="823"/>
      <c r="B11" s="824"/>
      <c r="C11" s="824"/>
      <c r="D11" s="824"/>
      <c r="E11" s="824"/>
      <c r="F11" s="824"/>
      <c r="G11" s="824"/>
    </row>
    <row r="13" spans="1:7" ht="14.25">
      <c r="A13" s="349" t="s">
        <v>497</v>
      </c>
      <c r="B13" s="826" t="s">
        <v>621</v>
      </c>
      <c r="C13" s="827"/>
      <c r="D13" s="827"/>
      <c r="E13" s="827"/>
      <c r="F13" s="827"/>
      <c r="G13" s="827"/>
    </row>
    <row r="14" spans="2:7" ht="14.25">
      <c r="B14" s="579"/>
      <c r="C14" s="530"/>
      <c r="D14" s="530"/>
      <c r="E14" s="530"/>
      <c r="F14" s="530"/>
      <c r="G14" s="530"/>
    </row>
    <row r="15" spans="1:7" ht="14.25">
      <c r="A15" s="349" t="s">
        <v>498</v>
      </c>
      <c r="B15" s="826" t="s">
        <v>624</v>
      </c>
      <c r="C15" s="827"/>
      <c r="D15" s="827"/>
      <c r="E15" s="827"/>
      <c r="F15" s="827"/>
      <c r="G15" s="827"/>
    </row>
    <row r="16" spans="2:7" ht="14.25">
      <c r="B16" s="579"/>
      <c r="C16" s="530"/>
      <c r="D16" s="530"/>
      <c r="E16" s="530"/>
      <c r="F16" s="530"/>
      <c r="G16" s="530"/>
    </row>
  </sheetData>
  <sheetProtection/>
  <mergeCells count="5">
    <mergeCell ref="A2:F2"/>
    <mergeCell ref="A11:G11"/>
    <mergeCell ref="A3:G3"/>
    <mergeCell ref="B13:G13"/>
    <mergeCell ref="B15:G15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61"/>
  <sheetViews>
    <sheetView view="pageBreakPreview" zoomScale="60" zoomScaleNormal="120" workbookViewId="0" topLeftCell="A1">
      <selection activeCell="Q24" sqref="Q24"/>
    </sheetView>
  </sheetViews>
  <sheetFormatPr defaultColWidth="9.00390625" defaultRowHeight="12.75"/>
  <cols>
    <col min="1" max="1" width="13.00390625" style="82" customWidth="1"/>
    <col min="2" max="2" width="59.00390625" style="83" customWidth="1"/>
    <col min="3" max="5" width="15.875" style="83" customWidth="1"/>
    <col min="6" max="16384" width="9.375" style="83" customWidth="1"/>
  </cols>
  <sheetData>
    <row r="1" spans="1:5" s="73" customFormat="1" ht="16.5" thickBot="1">
      <c r="A1" s="358"/>
      <c r="B1" s="895" t="s">
        <v>1254</v>
      </c>
      <c r="C1" s="896"/>
      <c r="D1" s="896"/>
      <c r="E1" s="896"/>
    </row>
    <row r="2" spans="1:5" s="199" customFormat="1" ht="24.75" thickBot="1">
      <c r="A2" s="359" t="s">
        <v>455</v>
      </c>
      <c r="B2" s="897" t="str">
        <f>CONCATENATE('[1]Z_6.2.1.sz.mell'!B2:D2)</f>
        <v>Balatonvilágos Község Önkormányzat Gazdasági Ellátó és Vagyongazdálkodó Szervezete</v>
      </c>
      <c r="C2" s="898"/>
      <c r="D2" s="899"/>
      <c r="E2" s="360" t="s">
        <v>43</v>
      </c>
    </row>
    <row r="3" spans="1:5" s="199" customFormat="1" ht="24.75" thickBot="1">
      <c r="A3" s="359" t="s">
        <v>136</v>
      </c>
      <c r="B3" s="897" t="s">
        <v>322</v>
      </c>
      <c r="C3" s="898"/>
      <c r="D3" s="899"/>
      <c r="E3" s="360" t="s">
        <v>44</v>
      </c>
    </row>
    <row r="4" spans="1:5" s="200" customFormat="1" ht="15.75" customHeight="1" thickBot="1">
      <c r="A4" s="361"/>
      <c r="B4" s="361"/>
      <c r="C4" s="362"/>
      <c r="D4" s="363"/>
      <c r="E4" s="362" t="str">
        <f>'[1]Z_6.2.1.sz.mell'!E4</f>
        <v> Forintban!</v>
      </c>
    </row>
    <row r="5" spans="1:5" ht="24.75" thickBot="1">
      <c r="A5" s="364" t="s">
        <v>137</v>
      </c>
      <c r="B5" s="365" t="s">
        <v>487</v>
      </c>
      <c r="C5" s="365" t="s">
        <v>453</v>
      </c>
      <c r="D5" s="366" t="s">
        <v>454</v>
      </c>
      <c r="E5" s="347" t="str">
        <f>CONCATENATE('[2]12'!E5)</f>
        <v>Teljesítés
2021. XII. 31.</v>
      </c>
    </row>
    <row r="6" spans="1:5" s="201" customFormat="1" ht="12.75" customHeight="1" thickBot="1">
      <c r="A6" s="397" t="s">
        <v>384</v>
      </c>
      <c r="B6" s="398" t="s">
        <v>385</v>
      </c>
      <c r="C6" s="398" t="s">
        <v>386</v>
      </c>
      <c r="D6" s="399" t="s">
        <v>388</v>
      </c>
      <c r="E6" s="400" t="s">
        <v>387</v>
      </c>
    </row>
    <row r="7" spans="1:5" s="201" customFormat="1" ht="15.75" customHeight="1" thickBot="1">
      <c r="A7" s="891" t="s">
        <v>40</v>
      </c>
      <c r="B7" s="892"/>
      <c r="C7" s="892"/>
      <c r="D7" s="892"/>
      <c r="E7" s="893"/>
    </row>
    <row r="8" spans="1:5" s="137" customFormat="1" ht="12" customHeight="1" thickBot="1">
      <c r="A8" s="66" t="s">
        <v>6</v>
      </c>
      <c r="B8" s="74" t="s">
        <v>405</v>
      </c>
      <c r="C8" s="104">
        <f>SUM(C9:C19)</f>
        <v>2189226</v>
      </c>
      <c r="D8" s="104">
        <f>SUM(D9:D19)</f>
        <v>2189226</v>
      </c>
      <c r="E8" s="132">
        <f>SUM(E9:E19)</f>
        <v>4363119</v>
      </c>
    </row>
    <row r="9" spans="1:5" s="137" customFormat="1" ht="12" customHeight="1">
      <c r="A9" s="194" t="s">
        <v>63</v>
      </c>
      <c r="B9" s="8" t="s">
        <v>183</v>
      </c>
      <c r="C9" s="256"/>
      <c r="D9" s="256"/>
      <c r="E9" s="303"/>
    </row>
    <row r="10" spans="1:5" s="137" customFormat="1" ht="12" customHeight="1">
      <c r="A10" s="195" t="s">
        <v>64</v>
      </c>
      <c r="B10" s="6" t="s">
        <v>184</v>
      </c>
      <c r="C10" s="101">
        <v>1723800</v>
      </c>
      <c r="D10" s="101">
        <v>1723800</v>
      </c>
      <c r="E10" s="248">
        <v>3435527</v>
      </c>
    </row>
    <row r="11" spans="1:5" s="137" customFormat="1" ht="12" customHeight="1">
      <c r="A11" s="195" t="s">
        <v>65</v>
      </c>
      <c r="B11" s="6" t="s">
        <v>185</v>
      </c>
      <c r="C11" s="101"/>
      <c r="D11" s="101"/>
      <c r="E11" s="248"/>
    </row>
    <row r="12" spans="1:5" s="137" customFormat="1" ht="12" customHeight="1">
      <c r="A12" s="195" t="s">
        <v>66</v>
      </c>
      <c r="B12" s="6" t="s">
        <v>186</v>
      </c>
      <c r="C12" s="101"/>
      <c r="D12" s="101"/>
      <c r="E12" s="248"/>
    </row>
    <row r="13" spans="1:5" s="137" customFormat="1" ht="12" customHeight="1">
      <c r="A13" s="195" t="s">
        <v>98</v>
      </c>
      <c r="B13" s="6" t="s">
        <v>187</v>
      </c>
      <c r="C13" s="101"/>
      <c r="D13" s="101"/>
      <c r="E13" s="248"/>
    </row>
    <row r="14" spans="1:5" s="137" customFormat="1" ht="12" customHeight="1">
      <c r="A14" s="195" t="s">
        <v>67</v>
      </c>
      <c r="B14" s="6" t="s">
        <v>303</v>
      </c>
      <c r="C14" s="101">
        <v>465426</v>
      </c>
      <c r="D14" s="101">
        <v>465426</v>
      </c>
      <c r="E14" s="248">
        <v>927592</v>
      </c>
    </row>
    <row r="15" spans="1:5" s="137" customFormat="1" ht="12" customHeight="1">
      <c r="A15" s="195" t="s">
        <v>68</v>
      </c>
      <c r="B15" s="5" t="s">
        <v>304</v>
      </c>
      <c r="C15" s="101"/>
      <c r="D15" s="101"/>
      <c r="E15" s="248"/>
    </row>
    <row r="16" spans="1:5" s="137" customFormat="1" ht="12" customHeight="1">
      <c r="A16" s="195" t="s">
        <v>76</v>
      </c>
      <c r="B16" s="6" t="s">
        <v>190</v>
      </c>
      <c r="C16" s="254"/>
      <c r="D16" s="254"/>
      <c r="E16" s="252"/>
    </row>
    <row r="17" spans="1:5" s="202" customFormat="1" ht="12" customHeight="1">
      <c r="A17" s="195" t="s">
        <v>77</v>
      </c>
      <c r="B17" s="6" t="s">
        <v>191</v>
      </c>
      <c r="C17" s="101"/>
      <c r="D17" s="101"/>
      <c r="E17" s="248"/>
    </row>
    <row r="18" spans="1:5" s="202" customFormat="1" ht="12" customHeight="1">
      <c r="A18" s="195" t="s">
        <v>78</v>
      </c>
      <c r="B18" s="6" t="s">
        <v>336</v>
      </c>
      <c r="C18" s="103"/>
      <c r="D18" s="103"/>
      <c r="E18" s="249"/>
    </row>
    <row r="19" spans="1:5" s="202" customFormat="1" ht="12" customHeight="1" thickBot="1">
      <c r="A19" s="195" t="s">
        <v>79</v>
      </c>
      <c r="B19" s="5" t="s">
        <v>192</v>
      </c>
      <c r="C19" s="103"/>
      <c r="D19" s="103"/>
      <c r="E19" s="249"/>
    </row>
    <row r="20" spans="1:5" s="137" customFormat="1" ht="12" customHeight="1" thickBot="1">
      <c r="A20" s="66" t="s">
        <v>7</v>
      </c>
      <c r="B20" s="74" t="s">
        <v>305</v>
      </c>
      <c r="C20" s="104">
        <f>SUM(C21:C23)</f>
        <v>0</v>
      </c>
      <c r="D20" s="104">
        <f>SUM(D21:D23)</f>
        <v>0</v>
      </c>
      <c r="E20" s="132">
        <f>SUM(E21:E23)</f>
        <v>0</v>
      </c>
    </row>
    <row r="21" spans="1:5" s="202" customFormat="1" ht="12" customHeight="1">
      <c r="A21" s="195" t="s">
        <v>69</v>
      </c>
      <c r="B21" s="7" t="s">
        <v>165</v>
      </c>
      <c r="C21" s="101"/>
      <c r="D21" s="101"/>
      <c r="E21" s="248"/>
    </row>
    <row r="22" spans="1:5" s="202" customFormat="1" ht="12" customHeight="1">
      <c r="A22" s="195" t="s">
        <v>70</v>
      </c>
      <c r="B22" s="6" t="s">
        <v>306</v>
      </c>
      <c r="C22" s="101"/>
      <c r="D22" s="101"/>
      <c r="E22" s="248"/>
    </row>
    <row r="23" spans="1:5" s="202" customFormat="1" ht="12" customHeight="1">
      <c r="A23" s="195" t="s">
        <v>71</v>
      </c>
      <c r="B23" s="6" t="s">
        <v>307</v>
      </c>
      <c r="C23" s="101"/>
      <c r="D23" s="101"/>
      <c r="E23" s="248"/>
    </row>
    <row r="24" spans="1:5" s="202" customFormat="1" ht="12" customHeight="1" thickBot="1">
      <c r="A24" s="195" t="s">
        <v>72</v>
      </c>
      <c r="B24" s="6" t="s">
        <v>406</v>
      </c>
      <c r="C24" s="101"/>
      <c r="D24" s="101"/>
      <c r="E24" s="248"/>
    </row>
    <row r="25" spans="1:5" s="202" customFormat="1" ht="12" customHeight="1" thickBot="1">
      <c r="A25" s="69" t="s">
        <v>8</v>
      </c>
      <c r="B25" s="51" t="s">
        <v>114</v>
      </c>
      <c r="C25" s="305"/>
      <c r="D25" s="305"/>
      <c r="E25" s="131"/>
    </row>
    <row r="26" spans="1:5" s="202" customFormat="1" ht="12" customHeight="1" thickBot="1">
      <c r="A26" s="69" t="s">
        <v>9</v>
      </c>
      <c r="B26" s="51" t="s">
        <v>407</v>
      </c>
      <c r="C26" s="104">
        <f>+C27+C28+C29</f>
        <v>0</v>
      </c>
      <c r="D26" s="104">
        <f>+D27+D28+D29</f>
        <v>0</v>
      </c>
      <c r="E26" s="132">
        <f>+E27+E28+E29</f>
        <v>0</v>
      </c>
    </row>
    <row r="27" spans="1:5" s="202" customFormat="1" ht="12" customHeight="1">
      <c r="A27" s="196" t="s">
        <v>174</v>
      </c>
      <c r="B27" s="197" t="s">
        <v>170</v>
      </c>
      <c r="C27" s="255"/>
      <c r="D27" s="255"/>
      <c r="E27" s="253"/>
    </row>
    <row r="28" spans="1:5" s="202" customFormat="1" ht="12" customHeight="1">
      <c r="A28" s="196" t="s">
        <v>175</v>
      </c>
      <c r="B28" s="197" t="s">
        <v>306</v>
      </c>
      <c r="C28" s="101"/>
      <c r="D28" s="101"/>
      <c r="E28" s="248"/>
    </row>
    <row r="29" spans="1:5" s="202" customFormat="1" ht="12" customHeight="1">
      <c r="A29" s="196" t="s">
        <v>176</v>
      </c>
      <c r="B29" s="198" t="s">
        <v>309</v>
      </c>
      <c r="C29" s="101"/>
      <c r="D29" s="101"/>
      <c r="E29" s="248"/>
    </row>
    <row r="30" spans="1:5" s="202" customFormat="1" ht="12" customHeight="1" thickBot="1">
      <c r="A30" s="195" t="s">
        <v>177</v>
      </c>
      <c r="B30" s="56" t="s">
        <v>408</v>
      </c>
      <c r="C30" s="43"/>
      <c r="D30" s="43"/>
      <c r="E30" s="304"/>
    </row>
    <row r="31" spans="1:5" s="202" customFormat="1" ht="12" customHeight="1" thickBot="1">
      <c r="A31" s="69" t="s">
        <v>10</v>
      </c>
      <c r="B31" s="51" t="s">
        <v>310</v>
      </c>
      <c r="C31" s="104">
        <f>+C32+C33+C34</f>
        <v>0</v>
      </c>
      <c r="D31" s="104">
        <f>+D32+D33+D34</f>
        <v>0</v>
      </c>
      <c r="E31" s="132">
        <f>+E32+E33+E34</f>
        <v>0</v>
      </c>
    </row>
    <row r="32" spans="1:5" s="202" customFormat="1" ht="12" customHeight="1">
      <c r="A32" s="196" t="s">
        <v>56</v>
      </c>
      <c r="B32" s="197" t="s">
        <v>197</v>
      </c>
      <c r="C32" s="255"/>
      <c r="D32" s="255"/>
      <c r="E32" s="253"/>
    </row>
    <row r="33" spans="1:5" s="202" customFormat="1" ht="12" customHeight="1">
      <c r="A33" s="196" t="s">
        <v>57</v>
      </c>
      <c r="B33" s="198" t="s">
        <v>198</v>
      </c>
      <c r="C33" s="105"/>
      <c r="D33" s="105"/>
      <c r="E33" s="250"/>
    </row>
    <row r="34" spans="1:5" s="202" customFormat="1" ht="12" customHeight="1" thickBot="1">
      <c r="A34" s="195" t="s">
        <v>58</v>
      </c>
      <c r="B34" s="56" t="s">
        <v>199</v>
      </c>
      <c r="C34" s="43"/>
      <c r="D34" s="43"/>
      <c r="E34" s="304"/>
    </row>
    <row r="35" spans="1:5" s="137" customFormat="1" ht="12" customHeight="1" thickBot="1">
      <c r="A35" s="69" t="s">
        <v>11</v>
      </c>
      <c r="B35" s="51" t="s">
        <v>282</v>
      </c>
      <c r="C35" s="305"/>
      <c r="D35" s="305"/>
      <c r="E35" s="131"/>
    </row>
    <row r="36" spans="1:5" s="137" customFormat="1" ht="12" customHeight="1" thickBot="1">
      <c r="A36" s="69" t="s">
        <v>12</v>
      </c>
      <c r="B36" s="51" t="s">
        <v>311</v>
      </c>
      <c r="C36" s="305"/>
      <c r="D36" s="305"/>
      <c r="E36" s="131"/>
    </row>
    <row r="37" spans="1:5" s="137" customFormat="1" ht="12" customHeight="1" thickBot="1">
      <c r="A37" s="66" t="s">
        <v>13</v>
      </c>
      <c r="B37" s="51" t="s">
        <v>312</v>
      </c>
      <c r="C37" s="104">
        <f>+C8+C20+C25+C26+C31+C35+C36</f>
        <v>2189226</v>
      </c>
      <c r="D37" s="104">
        <f>+D8+D20+D25+D26+D31+D35+D36</f>
        <v>2189226</v>
      </c>
      <c r="E37" s="132">
        <f>+E8+E20+E25+E26+E31+E35+E36</f>
        <v>4363119</v>
      </c>
    </row>
    <row r="38" spans="1:5" s="137" customFormat="1" ht="12" customHeight="1" thickBot="1">
      <c r="A38" s="75" t="s">
        <v>14</v>
      </c>
      <c r="B38" s="51" t="s">
        <v>313</v>
      </c>
      <c r="C38" s="104">
        <f>+C39+C40+C41</f>
        <v>0</v>
      </c>
      <c r="D38" s="104">
        <f>+D39+D40+D41</f>
        <v>0</v>
      </c>
      <c r="E38" s="132">
        <f>+E39+E40+E41</f>
        <v>0</v>
      </c>
    </row>
    <row r="39" spans="1:5" s="137" customFormat="1" ht="12" customHeight="1">
      <c r="A39" s="196" t="s">
        <v>314</v>
      </c>
      <c r="B39" s="197" t="s">
        <v>147</v>
      </c>
      <c r="C39" s="255"/>
      <c r="D39" s="255"/>
      <c r="E39" s="253"/>
    </row>
    <row r="40" spans="1:5" s="137" customFormat="1" ht="12" customHeight="1">
      <c r="A40" s="196" t="s">
        <v>315</v>
      </c>
      <c r="B40" s="198" t="s">
        <v>0</v>
      </c>
      <c r="C40" s="105"/>
      <c r="D40" s="105"/>
      <c r="E40" s="250"/>
    </row>
    <row r="41" spans="1:5" s="202" customFormat="1" ht="12" customHeight="1" thickBot="1">
      <c r="A41" s="195" t="s">
        <v>316</v>
      </c>
      <c r="B41" s="56" t="s">
        <v>317</v>
      </c>
      <c r="C41" s="43"/>
      <c r="D41" s="43"/>
      <c r="E41" s="304"/>
    </row>
    <row r="42" spans="1:5" s="202" customFormat="1" ht="15" customHeight="1" thickBot="1">
      <c r="A42" s="75" t="s">
        <v>15</v>
      </c>
      <c r="B42" s="76" t="s">
        <v>318</v>
      </c>
      <c r="C42" s="306">
        <f>+C37+C38</f>
        <v>2189226</v>
      </c>
      <c r="D42" s="306">
        <f>+D37+D38</f>
        <v>2189226</v>
      </c>
      <c r="E42" s="135">
        <f>+E37+E38</f>
        <v>4363119</v>
      </c>
    </row>
    <row r="43" spans="1:3" s="202" customFormat="1" ht="15" customHeight="1">
      <c r="A43" s="77"/>
      <c r="B43" s="78"/>
      <c r="C43" s="133"/>
    </row>
    <row r="44" spans="1:3" ht="13.5" thickBot="1">
      <c r="A44" s="79"/>
      <c r="B44" s="80"/>
      <c r="C44" s="134"/>
    </row>
    <row r="45" spans="1:5" s="201" customFormat="1" ht="16.5" customHeight="1" thickBot="1">
      <c r="A45" s="891" t="s">
        <v>41</v>
      </c>
      <c r="B45" s="892"/>
      <c r="C45" s="892"/>
      <c r="D45" s="892"/>
      <c r="E45" s="893"/>
    </row>
    <row r="46" spans="1:5" s="203" customFormat="1" ht="12" customHeight="1" thickBot="1">
      <c r="A46" s="69" t="s">
        <v>6</v>
      </c>
      <c r="B46" s="51" t="s">
        <v>319</v>
      </c>
      <c r="C46" s="104">
        <f>SUM(C47:C51)</f>
        <v>0</v>
      </c>
      <c r="D46" s="104">
        <f>SUM(D47:D51)</f>
        <v>4807186</v>
      </c>
      <c r="E46" s="132">
        <f>SUM(E47:E51)</f>
        <v>4807184</v>
      </c>
    </row>
    <row r="47" spans="1:5" ht="12" customHeight="1">
      <c r="A47" s="195" t="s">
        <v>63</v>
      </c>
      <c r="B47" s="7" t="s">
        <v>35</v>
      </c>
      <c r="C47" s="255"/>
      <c r="D47" s="255"/>
      <c r="E47" s="253"/>
    </row>
    <row r="48" spans="1:5" ht="12" customHeight="1">
      <c r="A48" s="195" t="s">
        <v>64</v>
      </c>
      <c r="B48" s="6" t="s">
        <v>123</v>
      </c>
      <c r="C48" s="42"/>
      <c r="D48" s="42"/>
      <c r="E48" s="251"/>
    </row>
    <row r="49" spans="1:5" ht="12" customHeight="1">
      <c r="A49" s="195" t="s">
        <v>65</v>
      </c>
      <c r="B49" s="6" t="s">
        <v>91</v>
      </c>
      <c r="C49" s="42"/>
      <c r="D49" s="42">
        <v>4807186</v>
      </c>
      <c r="E49" s="251">
        <v>4807184</v>
      </c>
    </row>
    <row r="50" spans="1:5" ht="12" customHeight="1">
      <c r="A50" s="195" t="s">
        <v>66</v>
      </c>
      <c r="B50" s="6" t="s">
        <v>124</v>
      </c>
      <c r="C50" s="42"/>
      <c r="D50" s="42"/>
      <c r="E50" s="251"/>
    </row>
    <row r="51" spans="1:5" ht="12" customHeight="1" thickBot="1">
      <c r="A51" s="195" t="s">
        <v>98</v>
      </c>
      <c r="B51" s="6" t="s">
        <v>125</v>
      </c>
      <c r="C51" s="42"/>
      <c r="D51" s="42"/>
      <c r="E51" s="251"/>
    </row>
    <row r="52" spans="1:5" ht="12" customHeight="1" thickBot="1">
      <c r="A52" s="69" t="s">
        <v>7</v>
      </c>
      <c r="B52" s="51" t="s">
        <v>320</v>
      </c>
      <c r="C52" s="104">
        <f>SUM(C53:C55)</f>
        <v>0</v>
      </c>
      <c r="D52" s="104">
        <f>SUM(D53:D55)</f>
        <v>0</v>
      </c>
      <c r="E52" s="132">
        <f>SUM(E53:E55)</f>
        <v>0</v>
      </c>
    </row>
    <row r="53" spans="1:5" s="203" customFormat="1" ht="12" customHeight="1">
      <c r="A53" s="195" t="s">
        <v>69</v>
      </c>
      <c r="B53" s="7" t="s">
        <v>140</v>
      </c>
      <c r="C53" s="255"/>
      <c r="D53" s="255"/>
      <c r="E53" s="253"/>
    </row>
    <row r="54" spans="1:5" ht="12" customHeight="1">
      <c r="A54" s="195" t="s">
        <v>70</v>
      </c>
      <c r="B54" s="6" t="s">
        <v>127</v>
      </c>
      <c r="C54" s="42"/>
      <c r="D54" s="42"/>
      <c r="E54" s="251"/>
    </row>
    <row r="55" spans="1:5" ht="12" customHeight="1">
      <c r="A55" s="195" t="s">
        <v>71</v>
      </c>
      <c r="B55" s="6" t="s">
        <v>42</v>
      </c>
      <c r="C55" s="42"/>
      <c r="D55" s="42"/>
      <c r="E55" s="251"/>
    </row>
    <row r="56" spans="1:5" ht="12" customHeight="1" thickBot="1">
      <c r="A56" s="195" t="s">
        <v>72</v>
      </c>
      <c r="B56" s="6" t="s">
        <v>409</v>
      </c>
      <c r="C56" s="42"/>
      <c r="D56" s="42"/>
      <c r="E56" s="251"/>
    </row>
    <row r="57" spans="1:5" ht="12" customHeight="1" thickBot="1">
      <c r="A57" s="69" t="s">
        <v>8</v>
      </c>
      <c r="B57" s="51" t="s">
        <v>2</v>
      </c>
      <c r="C57" s="305"/>
      <c r="D57" s="305"/>
      <c r="E57" s="131"/>
    </row>
    <row r="58" spans="1:5" ht="15" customHeight="1" thickBot="1">
      <c r="A58" s="69" t="s">
        <v>9</v>
      </c>
      <c r="B58" s="81" t="s">
        <v>413</v>
      </c>
      <c r="C58" s="306">
        <f>+C46+C52+C57</f>
        <v>0</v>
      </c>
      <c r="D58" s="306">
        <f>+D46+D52+D57</f>
        <v>4807186</v>
      </c>
      <c r="E58" s="135">
        <f>+E46+E52+E57</f>
        <v>4807184</v>
      </c>
    </row>
    <row r="59" spans="3:5" ht="13.5" thickBot="1">
      <c r="C59" s="546">
        <f>C42-C58</f>
        <v>2189226</v>
      </c>
      <c r="D59" s="546">
        <f>D42-D58</f>
        <v>-2617960</v>
      </c>
      <c r="E59" s="136"/>
    </row>
    <row r="60" spans="1:5" ht="15" customHeight="1" thickBot="1">
      <c r="A60" s="311" t="s">
        <v>488</v>
      </c>
      <c r="B60" s="312"/>
      <c r="C60" s="300">
        <v>0</v>
      </c>
      <c r="D60" s="300">
        <v>0</v>
      </c>
      <c r="E60" s="299">
        <v>0</v>
      </c>
    </row>
    <row r="61" spans="1:5" ht="14.25" customHeight="1" thickBot="1">
      <c r="A61" s="313" t="s">
        <v>489</v>
      </c>
      <c r="B61" s="314"/>
      <c r="C61" s="300">
        <v>0</v>
      </c>
      <c r="D61" s="300">
        <v>0</v>
      </c>
      <c r="E61" s="299">
        <v>0</v>
      </c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61"/>
  <sheetViews>
    <sheetView view="pageBreakPreview" zoomScale="60" zoomScaleNormal="120" workbookViewId="0" topLeftCell="A1">
      <selection activeCell="B2" sqref="B2:D2"/>
    </sheetView>
  </sheetViews>
  <sheetFormatPr defaultColWidth="9.00390625" defaultRowHeight="12.75"/>
  <cols>
    <col min="1" max="1" width="13.00390625" style="82" customWidth="1"/>
    <col min="2" max="2" width="59.00390625" style="83" customWidth="1"/>
    <col min="3" max="5" width="15.875" style="83" customWidth="1"/>
    <col min="6" max="16384" width="9.375" style="83" customWidth="1"/>
  </cols>
  <sheetData>
    <row r="1" spans="1:5" s="73" customFormat="1" ht="21" customHeight="1" thickBot="1">
      <c r="A1" s="358"/>
      <c r="B1" s="900" t="str">
        <f>CONCATENATE("17. melléklet ",Z_ALAPADATOK!A7," ",Z_ALAPADATOK!B7," ",Z_ALAPADATOK!C7," ",Z_ALAPADATOK!D7," ",Z_ALAPADATOK!E7," ",Z_ALAPADATOK!F7," ",Z_ALAPADATOK!G7," ",Z_ALAPADATOK!H7)</f>
        <v>17. melléklet a 3 / 2022. ( V. 26. ) önkormányzati rendelethez</v>
      </c>
      <c r="C1" s="901"/>
      <c r="D1" s="901"/>
      <c r="E1" s="901"/>
    </row>
    <row r="2" spans="1:5" s="199" customFormat="1" ht="24.75" thickBot="1">
      <c r="A2" s="359" t="s">
        <v>455</v>
      </c>
      <c r="B2" s="897" t="str">
        <f>CONCATENATE('16'!B2:D2)</f>
        <v>Balatonvilágos Község Önkormányzat Gazdasági Ellátó és Vagyongazdálkodó Szervezete</v>
      </c>
      <c r="C2" s="898"/>
      <c r="D2" s="899"/>
      <c r="E2" s="360" t="s">
        <v>43</v>
      </c>
    </row>
    <row r="3" spans="1:5" s="199" customFormat="1" ht="24.75" thickBot="1">
      <c r="A3" s="359" t="s">
        <v>136</v>
      </c>
      <c r="B3" s="897" t="s">
        <v>414</v>
      </c>
      <c r="C3" s="898"/>
      <c r="D3" s="899"/>
      <c r="E3" s="360" t="s">
        <v>331</v>
      </c>
    </row>
    <row r="4" spans="1:5" s="200" customFormat="1" ht="15.75" customHeight="1" thickBot="1">
      <c r="A4" s="361"/>
      <c r="B4" s="361"/>
      <c r="C4" s="362"/>
      <c r="D4" s="363"/>
      <c r="E4" s="362" t="str">
        <f>'16'!E4</f>
        <v> Forintban!</v>
      </c>
    </row>
    <row r="5" spans="1:5" ht="24.75" thickBot="1">
      <c r="A5" s="364" t="s">
        <v>137</v>
      </c>
      <c r="B5" s="365" t="s">
        <v>487</v>
      </c>
      <c r="C5" s="365" t="s">
        <v>453</v>
      </c>
      <c r="D5" s="366" t="s">
        <v>454</v>
      </c>
      <c r="E5" s="347" t="str">
        <f>CONCATENATE('16'!E5)</f>
        <v>Teljesítés
2021. XII. 31.</v>
      </c>
    </row>
    <row r="6" spans="1:5" s="201" customFormat="1" ht="12.75" customHeight="1" thickBot="1">
      <c r="A6" s="397" t="s">
        <v>384</v>
      </c>
      <c r="B6" s="398" t="s">
        <v>385</v>
      </c>
      <c r="C6" s="398" t="s">
        <v>386</v>
      </c>
      <c r="D6" s="399" t="s">
        <v>388</v>
      </c>
      <c r="E6" s="400" t="s">
        <v>387</v>
      </c>
    </row>
    <row r="7" spans="1:5" s="201" customFormat="1" ht="15.75" customHeight="1" thickBot="1">
      <c r="A7" s="891" t="s">
        <v>40</v>
      </c>
      <c r="B7" s="892"/>
      <c r="C7" s="892"/>
      <c r="D7" s="892"/>
      <c r="E7" s="893"/>
    </row>
    <row r="8" spans="1:5" s="137" customFormat="1" ht="12" customHeight="1" thickBot="1">
      <c r="A8" s="66" t="s">
        <v>6</v>
      </c>
      <c r="B8" s="74" t="s">
        <v>405</v>
      </c>
      <c r="C8" s="104">
        <f>SUM(C9:C19)</f>
        <v>0</v>
      </c>
      <c r="D8" s="104">
        <f>SUM(D9:D19)</f>
        <v>0</v>
      </c>
      <c r="E8" s="132">
        <f>SUM(E9:E19)</f>
        <v>0</v>
      </c>
    </row>
    <row r="9" spans="1:5" s="137" customFormat="1" ht="12" customHeight="1">
      <c r="A9" s="194" t="s">
        <v>63</v>
      </c>
      <c r="B9" s="8" t="s">
        <v>183</v>
      </c>
      <c r="C9" s="256"/>
      <c r="D9" s="256"/>
      <c r="E9" s="303"/>
    </row>
    <row r="10" spans="1:5" s="137" customFormat="1" ht="12" customHeight="1">
      <c r="A10" s="195" t="s">
        <v>64</v>
      </c>
      <c r="B10" s="6" t="s">
        <v>184</v>
      </c>
      <c r="C10" s="101"/>
      <c r="D10" s="101"/>
      <c r="E10" s="248"/>
    </row>
    <row r="11" spans="1:5" s="137" customFormat="1" ht="12" customHeight="1">
      <c r="A11" s="195" t="s">
        <v>65</v>
      </c>
      <c r="B11" s="6" t="s">
        <v>185</v>
      </c>
      <c r="C11" s="101"/>
      <c r="D11" s="101"/>
      <c r="E11" s="248"/>
    </row>
    <row r="12" spans="1:5" s="137" customFormat="1" ht="12" customHeight="1">
      <c r="A12" s="195" t="s">
        <v>66</v>
      </c>
      <c r="B12" s="6" t="s">
        <v>186</v>
      </c>
      <c r="C12" s="101"/>
      <c r="D12" s="101"/>
      <c r="E12" s="248"/>
    </row>
    <row r="13" spans="1:5" s="137" customFormat="1" ht="12" customHeight="1">
      <c r="A13" s="195" t="s">
        <v>98</v>
      </c>
      <c r="B13" s="6" t="s">
        <v>187</v>
      </c>
      <c r="C13" s="101"/>
      <c r="D13" s="101"/>
      <c r="E13" s="248"/>
    </row>
    <row r="14" spans="1:5" s="137" customFormat="1" ht="12" customHeight="1">
      <c r="A14" s="195" t="s">
        <v>67</v>
      </c>
      <c r="B14" s="6" t="s">
        <v>303</v>
      </c>
      <c r="C14" s="101"/>
      <c r="D14" s="101"/>
      <c r="E14" s="248"/>
    </row>
    <row r="15" spans="1:5" s="137" customFormat="1" ht="12" customHeight="1">
      <c r="A15" s="195" t="s">
        <v>68</v>
      </c>
      <c r="B15" s="5" t="s">
        <v>304</v>
      </c>
      <c r="C15" s="101"/>
      <c r="D15" s="101"/>
      <c r="E15" s="248"/>
    </row>
    <row r="16" spans="1:5" s="137" customFormat="1" ht="12" customHeight="1">
      <c r="A16" s="195" t="s">
        <v>76</v>
      </c>
      <c r="B16" s="6" t="s">
        <v>190</v>
      </c>
      <c r="C16" s="254"/>
      <c r="D16" s="254"/>
      <c r="E16" s="252"/>
    </row>
    <row r="17" spans="1:5" s="202" customFormat="1" ht="12" customHeight="1">
      <c r="A17" s="195" t="s">
        <v>77</v>
      </c>
      <c r="B17" s="6" t="s">
        <v>191</v>
      </c>
      <c r="C17" s="101"/>
      <c r="D17" s="101"/>
      <c r="E17" s="248"/>
    </row>
    <row r="18" spans="1:5" s="202" customFormat="1" ht="12" customHeight="1">
      <c r="A18" s="195" t="s">
        <v>78</v>
      </c>
      <c r="B18" s="6" t="s">
        <v>336</v>
      </c>
      <c r="C18" s="103"/>
      <c r="D18" s="103"/>
      <c r="E18" s="249"/>
    </row>
    <row r="19" spans="1:5" s="202" customFormat="1" ht="12" customHeight="1" thickBot="1">
      <c r="A19" s="195" t="s">
        <v>79</v>
      </c>
      <c r="B19" s="5" t="s">
        <v>192</v>
      </c>
      <c r="C19" s="103"/>
      <c r="D19" s="103"/>
      <c r="E19" s="249"/>
    </row>
    <row r="20" spans="1:5" s="137" customFormat="1" ht="12" customHeight="1" thickBot="1">
      <c r="A20" s="66" t="s">
        <v>7</v>
      </c>
      <c r="B20" s="74" t="s">
        <v>305</v>
      </c>
      <c r="C20" s="104">
        <f>SUM(C21:C23)</f>
        <v>0</v>
      </c>
      <c r="D20" s="104">
        <f>SUM(D21:D23)</f>
        <v>0</v>
      </c>
      <c r="E20" s="132">
        <f>SUM(E21:E23)</f>
        <v>0</v>
      </c>
    </row>
    <row r="21" spans="1:5" s="202" customFormat="1" ht="12" customHeight="1">
      <c r="A21" s="195" t="s">
        <v>69</v>
      </c>
      <c r="B21" s="7" t="s">
        <v>165</v>
      </c>
      <c r="C21" s="101"/>
      <c r="D21" s="101"/>
      <c r="E21" s="248"/>
    </row>
    <row r="22" spans="1:5" s="202" customFormat="1" ht="12" customHeight="1">
      <c r="A22" s="195" t="s">
        <v>70</v>
      </c>
      <c r="B22" s="6" t="s">
        <v>306</v>
      </c>
      <c r="C22" s="101"/>
      <c r="D22" s="101"/>
      <c r="E22" s="248"/>
    </row>
    <row r="23" spans="1:5" s="202" customFormat="1" ht="12" customHeight="1">
      <c r="A23" s="195" t="s">
        <v>71</v>
      </c>
      <c r="B23" s="6" t="s">
        <v>307</v>
      </c>
      <c r="C23" s="101"/>
      <c r="D23" s="101"/>
      <c r="E23" s="248"/>
    </row>
    <row r="24" spans="1:5" s="202" customFormat="1" ht="12" customHeight="1" thickBot="1">
      <c r="A24" s="195" t="s">
        <v>72</v>
      </c>
      <c r="B24" s="6" t="s">
        <v>406</v>
      </c>
      <c r="C24" s="101"/>
      <c r="D24" s="101"/>
      <c r="E24" s="248"/>
    </row>
    <row r="25" spans="1:5" s="202" customFormat="1" ht="12" customHeight="1" thickBot="1">
      <c r="A25" s="69" t="s">
        <v>8</v>
      </c>
      <c r="B25" s="51" t="s">
        <v>114</v>
      </c>
      <c r="C25" s="305"/>
      <c r="D25" s="305"/>
      <c r="E25" s="131"/>
    </row>
    <row r="26" spans="1:5" s="202" customFormat="1" ht="12" customHeight="1" thickBot="1">
      <c r="A26" s="69" t="s">
        <v>9</v>
      </c>
      <c r="B26" s="51" t="s">
        <v>407</v>
      </c>
      <c r="C26" s="104">
        <f>+C27+C28+C29</f>
        <v>0</v>
      </c>
      <c r="D26" s="104">
        <f>+D27+D28+D29</f>
        <v>0</v>
      </c>
      <c r="E26" s="132">
        <f>+E27+E28+E29</f>
        <v>0</v>
      </c>
    </row>
    <row r="27" spans="1:5" s="202" customFormat="1" ht="12" customHeight="1">
      <c r="A27" s="196" t="s">
        <v>174</v>
      </c>
      <c r="B27" s="197" t="s">
        <v>170</v>
      </c>
      <c r="C27" s="255"/>
      <c r="D27" s="255"/>
      <c r="E27" s="253"/>
    </row>
    <row r="28" spans="1:5" s="202" customFormat="1" ht="12" customHeight="1">
      <c r="A28" s="196" t="s">
        <v>175</v>
      </c>
      <c r="B28" s="197" t="s">
        <v>306</v>
      </c>
      <c r="C28" s="101"/>
      <c r="D28" s="101"/>
      <c r="E28" s="248"/>
    </row>
    <row r="29" spans="1:5" s="202" customFormat="1" ht="12" customHeight="1">
      <c r="A29" s="196" t="s">
        <v>176</v>
      </c>
      <c r="B29" s="198" t="s">
        <v>309</v>
      </c>
      <c r="C29" s="101"/>
      <c r="D29" s="101"/>
      <c r="E29" s="248"/>
    </row>
    <row r="30" spans="1:5" s="202" customFormat="1" ht="12" customHeight="1" thickBot="1">
      <c r="A30" s="195" t="s">
        <v>177</v>
      </c>
      <c r="B30" s="56" t="s">
        <v>408</v>
      </c>
      <c r="C30" s="43"/>
      <c r="D30" s="43"/>
      <c r="E30" s="304"/>
    </row>
    <row r="31" spans="1:5" s="202" customFormat="1" ht="12" customHeight="1" thickBot="1">
      <c r="A31" s="69" t="s">
        <v>10</v>
      </c>
      <c r="B31" s="51" t="s">
        <v>310</v>
      </c>
      <c r="C31" s="104">
        <f>+C32+C33+C34</f>
        <v>0</v>
      </c>
      <c r="D31" s="104">
        <f>+D32+D33+D34</f>
        <v>0</v>
      </c>
      <c r="E31" s="132">
        <f>+E32+E33+E34</f>
        <v>0</v>
      </c>
    </row>
    <row r="32" spans="1:5" s="202" customFormat="1" ht="12" customHeight="1">
      <c r="A32" s="196" t="s">
        <v>56</v>
      </c>
      <c r="B32" s="197" t="s">
        <v>197</v>
      </c>
      <c r="C32" s="255"/>
      <c r="D32" s="255"/>
      <c r="E32" s="253"/>
    </row>
    <row r="33" spans="1:5" s="202" customFormat="1" ht="12" customHeight="1">
      <c r="A33" s="196" t="s">
        <v>57</v>
      </c>
      <c r="B33" s="198" t="s">
        <v>198</v>
      </c>
      <c r="C33" s="105"/>
      <c r="D33" s="105"/>
      <c r="E33" s="250"/>
    </row>
    <row r="34" spans="1:5" s="202" customFormat="1" ht="12" customHeight="1" thickBot="1">
      <c r="A34" s="195" t="s">
        <v>58</v>
      </c>
      <c r="B34" s="56" t="s">
        <v>199</v>
      </c>
      <c r="C34" s="43"/>
      <c r="D34" s="43"/>
      <c r="E34" s="304"/>
    </row>
    <row r="35" spans="1:5" s="137" customFormat="1" ht="12" customHeight="1" thickBot="1">
      <c r="A35" s="69" t="s">
        <v>11</v>
      </c>
      <c r="B35" s="51" t="s">
        <v>282</v>
      </c>
      <c r="C35" s="305"/>
      <c r="D35" s="305"/>
      <c r="E35" s="131"/>
    </row>
    <row r="36" spans="1:5" s="137" customFormat="1" ht="12" customHeight="1" thickBot="1">
      <c r="A36" s="69" t="s">
        <v>12</v>
      </c>
      <c r="B36" s="51" t="s">
        <v>311</v>
      </c>
      <c r="C36" s="305"/>
      <c r="D36" s="305"/>
      <c r="E36" s="131"/>
    </row>
    <row r="37" spans="1:5" s="137" customFormat="1" ht="12" customHeight="1" thickBot="1">
      <c r="A37" s="66" t="s">
        <v>13</v>
      </c>
      <c r="B37" s="51" t="s">
        <v>312</v>
      </c>
      <c r="C37" s="104">
        <f>+C8+C20+C25+C26+C31+C35+C36</f>
        <v>0</v>
      </c>
      <c r="D37" s="104">
        <f>+D8+D20+D25+D26+D31+D35+D36</f>
        <v>0</v>
      </c>
      <c r="E37" s="132">
        <f>+E8+E20+E25+E26+E31+E35+E36</f>
        <v>0</v>
      </c>
    </row>
    <row r="38" spans="1:5" s="137" customFormat="1" ht="12" customHeight="1" thickBot="1">
      <c r="A38" s="75" t="s">
        <v>14</v>
      </c>
      <c r="B38" s="51" t="s">
        <v>313</v>
      </c>
      <c r="C38" s="104">
        <f>+C39+C40+C41</f>
        <v>0</v>
      </c>
      <c r="D38" s="104">
        <f>+D39+D40+D41</f>
        <v>0</v>
      </c>
      <c r="E38" s="132">
        <f>+E39+E40+E41</f>
        <v>0</v>
      </c>
    </row>
    <row r="39" spans="1:5" s="137" customFormat="1" ht="12" customHeight="1">
      <c r="A39" s="196" t="s">
        <v>314</v>
      </c>
      <c r="B39" s="197" t="s">
        <v>147</v>
      </c>
      <c r="C39" s="255"/>
      <c r="D39" s="255"/>
      <c r="E39" s="253"/>
    </row>
    <row r="40" spans="1:5" s="137" customFormat="1" ht="12" customHeight="1">
      <c r="A40" s="196" t="s">
        <v>315</v>
      </c>
      <c r="B40" s="198" t="s">
        <v>0</v>
      </c>
      <c r="C40" s="105"/>
      <c r="D40" s="105"/>
      <c r="E40" s="250"/>
    </row>
    <row r="41" spans="1:5" s="202" customFormat="1" ht="12" customHeight="1" thickBot="1">
      <c r="A41" s="195" t="s">
        <v>316</v>
      </c>
      <c r="B41" s="56" t="s">
        <v>317</v>
      </c>
      <c r="C41" s="43"/>
      <c r="D41" s="43"/>
      <c r="E41" s="304"/>
    </row>
    <row r="42" spans="1:5" s="202" customFormat="1" ht="15" customHeight="1" thickBot="1">
      <c r="A42" s="75" t="s">
        <v>15</v>
      </c>
      <c r="B42" s="76" t="s">
        <v>318</v>
      </c>
      <c r="C42" s="306">
        <f>+C37+C38</f>
        <v>0</v>
      </c>
      <c r="D42" s="306">
        <f>+D37+D38</f>
        <v>0</v>
      </c>
      <c r="E42" s="135">
        <f>+E37+E38</f>
        <v>0</v>
      </c>
    </row>
    <row r="43" spans="1:3" s="202" customFormat="1" ht="15" customHeight="1">
      <c r="A43" s="77"/>
      <c r="B43" s="78"/>
      <c r="C43" s="133"/>
    </row>
    <row r="44" spans="1:3" ht="13.5" thickBot="1">
      <c r="A44" s="79"/>
      <c r="B44" s="80"/>
      <c r="C44" s="134"/>
    </row>
    <row r="45" spans="1:5" s="201" customFormat="1" ht="16.5" customHeight="1" thickBot="1">
      <c r="A45" s="891" t="s">
        <v>41</v>
      </c>
      <c r="B45" s="892"/>
      <c r="C45" s="892"/>
      <c r="D45" s="892"/>
      <c r="E45" s="893"/>
    </row>
    <row r="46" spans="1:5" s="203" customFormat="1" ht="12" customHeight="1" thickBot="1">
      <c r="A46" s="69" t="s">
        <v>6</v>
      </c>
      <c r="B46" s="51" t="s">
        <v>319</v>
      </c>
      <c r="C46" s="104">
        <f>SUM(C47:C51)</f>
        <v>0</v>
      </c>
      <c r="D46" s="104">
        <f>SUM(D47:D51)</f>
        <v>0</v>
      </c>
      <c r="E46" s="132">
        <f>SUM(E47:E51)</f>
        <v>0</v>
      </c>
    </row>
    <row r="47" spans="1:5" ht="12" customHeight="1">
      <c r="A47" s="195" t="s">
        <v>63</v>
      </c>
      <c r="B47" s="7" t="s">
        <v>35</v>
      </c>
      <c r="C47" s="255"/>
      <c r="D47" s="255"/>
      <c r="E47" s="253"/>
    </row>
    <row r="48" spans="1:5" ht="12" customHeight="1">
      <c r="A48" s="195" t="s">
        <v>64</v>
      </c>
      <c r="B48" s="6" t="s">
        <v>123</v>
      </c>
      <c r="C48" s="42"/>
      <c r="D48" s="42"/>
      <c r="E48" s="251"/>
    </row>
    <row r="49" spans="1:5" ht="12" customHeight="1">
      <c r="A49" s="195" t="s">
        <v>65</v>
      </c>
      <c r="B49" s="6" t="s">
        <v>91</v>
      </c>
      <c r="C49" s="42"/>
      <c r="D49" s="42"/>
      <c r="E49" s="251"/>
    </row>
    <row r="50" spans="1:5" ht="12" customHeight="1">
      <c r="A50" s="195" t="s">
        <v>66</v>
      </c>
      <c r="B50" s="6" t="s">
        <v>124</v>
      </c>
      <c r="C50" s="42"/>
      <c r="D50" s="42"/>
      <c r="E50" s="251"/>
    </row>
    <row r="51" spans="1:5" ht="12" customHeight="1" thickBot="1">
      <c r="A51" s="195" t="s">
        <v>98</v>
      </c>
      <c r="B51" s="6" t="s">
        <v>125</v>
      </c>
      <c r="C51" s="42"/>
      <c r="D51" s="42"/>
      <c r="E51" s="251"/>
    </row>
    <row r="52" spans="1:5" ht="12" customHeight="1" thickBot="1">
      <c r="A52" s="69" t="s">
        <v>7</v>
      </c>
      <c r="B52" s="51" t="s">
        <v>320</v>
      </c>
      <c r="C52" s="104">
        <f>SUM(C53:C55)</f>
        <v>0</v>
      </c>
      <c r="D52" s="104">
        <f>SUM(D53:D55)</f>
        <v>0</v>
      </c>
      <c r="E52" s="132">
        <f>SUM(E53:E55)</f>
        <v>0</v>
      </c>
    </row>
    <row r="53" spans="1:5" s="203" customFormat="1" ht="12" customHeight="1">
      <c r="A53" s="195" t="s">
        <v>69</v>
      </c>
      <c r="B53" s="7" t="s">
        <v>140</v>
      </c>
      <c r="C53" s="255"/>
      <c r="D53" s="255"/>
      <c r="E53" s="253"/>
    </row>
    <row r="54" spans="1:5" ht="12" customHeight="1">
      <c r="A54" s="195" t="s">
        <v>70</v>
      </c>
      <c r="B54" s="6" t="s">
        <v>127</v>
      </c>
      <c r="C54" s="42"/>
      <c r="D54" s="42"/>
      <c r="E54" s="251"/>
    </row>
    <row r="55" spans="1:5" ht="12" customHeight="1">
      <c r="A55" s="195" t="s">
        <v>71</v>
      </c>
      <c r="B55" s="6" t="s">
        <v>42</v>
      </c>
      <c r="C55" s="42"/>
      <c r="D55" s="42"/>
      <c r="E55" s="251"/>
    </row>
    <row r="56" spans="1:5" ht="12" customHeight="1" thickBot="1">
      <c r="A56" s="195" t="s">
        <v>72</v>
      </c>
      <c r="B56" s="6" t="s">
        <v>409</v>
      </c>
      <c r="C56" s="42"/>
      <c r="D56" s="42"/>
      <c r="E56" s="251"/>
    </row>
    <row r="57" spans="1:5" ht="12" customHeight="1" thickBot="1">
      <c r="A57" s="69" t="s">
        <v>8</v>
      </c>
      <c r="B57" s="51" t="s">
        <v>2</v>
      </c>
      <c r="C57" s="305"/>
      <c r="D57" s="305"/>
      <c r="E57" s="131"/>
    </row>
    <row r="58" spans="1:5" ht="15" customHeight="1" thickBot="1">
      <c r="A58" s="69" t="s">
        <v>9</v>
      </c>
      <c r="B58" s="81" t="s">
        <v>413</v>
      </c>
      <c r="C58" s="306">
        <f>+C46+C52+C57</f>
        <v>0</v>
      </c>
      <c r="D58" s="306">
        <f>+D46+D52+D57</f>
        <v>0</v>
      </c>
      <c r="E58" s="135">
        <f>+E46+E52+E57</f>
        <v>0</v>
      </c>
    </row>
    <row r="59" spans="3:5" ht="13.5" thickBot="1">
      <c r="C59" s="546">
        <f>C42-C58</f>
        <v>0</v>
      </c>
      <c r="D59" s="546">
        <f>D42-D58</f>
        <v>0</v>
      </c>
      <c r="E59" s="136"/>
    </row>
    <row r="60" spans="1:5" ht="15" customHeight="1" thickBot="1">
      <c r="A60" s="311" t="s">
        <v>488</v>
      </c>
      <c r="B60" s="312"/>
      <c r="C60" s="300"/>
      <c r="D60" s="300"/>
      <c r="E60" s="299"/>
    </row>
    <row r="61" spans="1:5" ht="14.25" customHeight="1" thickBot="1">
      <c r="A61" s="313" t="s">
        <v>489</v>
      </c>
      <c r="B61" s="314"/>
      <c r="C61" s="300"/>
      <c r="D61" s="300"/>
      <c r="E61" s="299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E60"/>
  <sheetViews>
    <sheetView view="pageBreakPreview" zoomScale="60" zoomScaleNormal="120" workbookViewId="0" topLeftCell="A1">
      <selection activeCell="B1" sqref="B1:E1"/>
    </sheetView>
  </sheetViews>
  <sheetFormatPr defaultColWidth="9.00390625" defaultRowHeight="12.75"/>
  <cols>
    <col min="1" max="1" width="13.875" style="82" customWidth="1"/>
    <col min="2" max="2" width="54.50390625" style="83" customWidth="1"/>
    <col min="3" max="5" width="15.875" style="83" customWidth="1"/>
    <col min="6" max="16384" width="9.375" style="83" customWidth="1"/>
  </cols>
  <sheetData>
    <row r="1" spans="1:5" s="73" customFormat="1" ht="16.5" thickBot="1">
      <c r="A1" s="358"/>
      <c r="B1" s="895" t="s">
        <v>1255</v>
      </c>
      <c r="C1" s="896"/>
      <c r="D1" s="896"/>
      <c r="E1" s="896"/>
    </row>
    <row r="2" spans="1:5" s="199" customFormat="1" ht="25.5" customHeight="1" thickBot="1">
      <c r="A2" s="359" t="s">
        <v>455</v>
      </c>
      <c r="B2" s="897" t="s">
        <v>622</v>
      </c>
      <c r="C2" s="898"/>
      <c r="D2" s="899"/>
      <c r="E2" s="360" t="s">
        <v>44</v>
      </c>
    </row>
    <row r="3" spans="1:5" s="199" customFormat="1" ht="24.75" thickBot="1">
      <c r="A3" s="359" t="s">
        <v>136</v>
      </c>
      <c r="B3" s="897" t="s">
        <v>302</v>
      </c>
      <c r="C3" s="898"/>
      <c r="D3" s="899"/>
      <c r="E3" s="360" t="s">
        <v>39</v>
      </c>
    </row>
    <row r="4" spans="1:5" s="200" customFormat="1" ht="15.75" customHeight="1" thickBot="1">
      <c r="A4" s="361"/>
      <c r="B4" s="361"/>
      <c r="C4" s="362"/>
      <c r="D4" s="363"/>
      <c r="E4" s="362" t="str">
        <f>'[1]Z_6.2.3.sz.mell'!E4</f>
        <v> Forintban!</v>
      </c>
    </row>
    <row r="5" spans="1:5" ht="24.75" thickBot="1">
      <c r="A5" s="364" t="s">
        <v>137</v>
      </c>
      <c r="B5" s="365" t="s">
        <v>487</v>
      </c>
      <c r="C5" s="365" t="s">
        <v>453</v>
      </c>
      <c r="D5" s="366" t="s">
        <v>454</v>
      </c>
      <c r="E5" s="347" t="str">
        <f>CONCATENATE('[2]12'!E5)</f>
        <v>Teljesítés
2021. XII. 31.</v>
      </c>
    </row>
    <row r="6" spans="1:5" s="201" customFormat="1" ht="12.75" customHeight="1" thickBot="1">
      <c r="A6" s="397" t="s">
        <v>384</v>
      </c>
      <c r="B6" s="398" t="s">
        <v>385</v>
      </c>
      <c r="C6" s="398" t="s">
        <v>386</v>
      </c>
      <c r="D6" s="399" t="s">
        <v>388</v>
      </c>
      <c r="E6" s="400" t="s">
        <v>387</v>
      </c>
    </row>
    <row r="7" spans="1:5" s="201" customFormat="1" ht="15.75" customHeight="1" thickBot="1">
      <c r="A7" s="891" t="s">
        <v>40</v>
      </c>
      <c r="B7" s="892"/>
      <c r="C7" s="892"/>
      <c r="D7" s="892"/>
      <c r="E7" s="893"/>
    </row>
    <row r="8" spans="1:5" s="137" customFormat="1" ht="12" customHeight="1" thickBot="1">
      <c r="A8" s="66" t="s">
        <v>6</v>
      </c>
      <c r="B8" s="74" t="s">
        <v>405</v>
      </c>
      <c r="C8" s="104">
        <f>SUM(C9:C19)</f>
        <v>0</v>
      </c>
      <c r="D8" s="104">
        <f>SUM(D9:D19)</f>
        <v>0</v>
      </c>
      <c r="E8" s="106">
        <f>SUM(E9:E19)</f>
        <v>49011</v>
      </c>
    </row>
    <row r="9" spans="1:5" s="137" customFormat="1" ht="12" customHeight="1">
      <c r="A9" s="194" t="s">
        <v>63</v>
      </c>
      <c r="B9" s="8" t="s">
        <v>183</v>
      </c>
      <c r="C9" s="256"/>
      <c r="D9" s="256"/>
      <c r="E9" s="303"/>
    </row>
    <row r="10" spans="1:5" s="137" customFormat="1" ht="12" customHeight="1">
      <c r="A10" s="195" t="s">
        <v>64</v>
      </c>
      <c r="B10" s="6" t="s">
        <v>184</v>
      </c>
      <c r="C10" s="101"/>
      <c r="D10" s="243"/>
      <c r="E10" s="248"/>
    </row>
    <row r="11" spans="1:5" s="137" customFormat="1" ht="12" customHeight="1">
      <c r="A11" s="195" t="s">
        <v>65</v>
      </c>
      <c r="B11" s="6" t="s">
        <v>185</v>
      </c>
      <c r="C11" s="101"/>
      <c r="D11" s="243"/>
      <c r="E11" s="248"/>
    </row>
    <row r="12" spans="1:5" s="137" customFormat="1" ht="12" customHeight="1">
      <c r="A12" s="195" t="s">
        <v>66</v>
      </c>
      <c r="B12" s="6" t="s">
        <v>186</v>
      </c>
      <c r="C12" s="101"/>
      <c r="D12" s="243"/>
      <c r="E12" s="248"/>
    </row>
    <row r="13" spans="1:5" s="137" customFormat="1" ht="12" customHeight="1">
      <c r="A13" s="195" t="s">
        <v>98</v>
      </c>
      <c r="B13" s="6" t="s">
        <v>187</v>
      </c>
      <c r="C13" s="101"/>
      <c r="D13" s="243"/>
      <c r="E13" s="248"/>
    </row>
    <row r="14" spans="1:5" s="137" customFormat="1" ht="12" customHeight="1">
      <c r="A14" s="195" t="s">
        <v>67</v>
      </c>
      <c r="B14" s="6" t="s">
        <v>303</v>
      </c>
      <c r="C14" s="101"/>
      <c r="D14" s="243"/>
      <c r="E14" s="248"/>
    </row>
    <row r="15" spans="1:5" s="137" customFormat="1" ht="12" customHeight="1">
      <c r="A15" s="195" t="s">
        <v>68</v>
      </c>
      <c r="B15" s="5" t="s">
        <v>304</v>
      </c>
      <c r="C15" s="101"/>
      <c r="D15" s="243"/>
      <c r="E15" s="248"/>
    </row>
    <row r="16" spans="1:5" s="137" customFormat="1" ht="12" customHeight="1">
      <c r="A16" s="195" t="s">
        <v>76</v>
      </c>
      <c r="B16" s="6" t="s">
        <v>190</v>
      </c>
      <c r="C16" s="254"/>
      <c r="D16" s="308"/>
      <c r="E16" s="252">
        <v>5</v>
      </c>
    </row>
    <row r="17" spans="1:5" s="202" customFormat="1" ht="12" customHeight="1">
      <c r="A17" s="195" t="s">
        <v>77</v>
      </c>
      <c r="B17" s="6" t="s">
        <v>191</v>
      </c>
      <c r="C17" s="101"/>
      <c r="D17" s="243"/>
      <c r="E17" s="248"/>
    </row>
    <row r="18" spans="1:5" s="202" customFormat="1" ht="12" customHeight="1">
      <c r="A18" s="195" t="s">
        <v>78</v>
      </c>
      <c r="B18" s="6" t="s">
        <v>336</v>
      </c>
      <c r="C18" s="103"/>
      <c r="D18" s="244"/>
      <c r="E18" s="249"/>
    </row>
    <row r="19" spans="1:5" s="202" customFormat="1" ht="12" customHeight="1" thickBot="1">
      <c r="A19" s="195" t="s">
        <v>79</v>
      </c>
      <c r="B19" s="5" t="s">
        <v>192</v>
      </c>
      <c r="C19" s="103"/>
      <c r="D19" s="244"/>
      <c r="E19" s="249">
        <v>49006</v>
      </c>
    </row>
    <row r="20" spans="1:5" s="137" customFormat="1" ht="12" customHeight="1" thickBot="1">
      <c r="A20" s="66" t="s">
        <v>7</v>
      </c>
      <c r="B20" s="74" t="s">
        <v>305</v>
      </c>
      <c r="C20" s="104">
        <f>SUM(C21:C23)</f>
        <v>0</v>
      </c>
      <c r="D20" s="245">
        <f>SUM(D21:D23)</f>
        <v>0</v>
      </c>
      <c r="E20" s="132">
        <f>SUM(E21:E23)</f>
        <v>0</v>
      </c>
    </row>
    <row r="21" spans="1:5" s="202" customFormat="1" ht="12" customHeight="1">
      <c r="A21" s="195" t="s">
        <v>69</v>
      </c>
      <c r="B21" s="7" t="s">
        <v>165</v>
      </c>
      <c r="C21" s="101"/>
      <c r="D21" s="243"/>
      <c r="E21" s="248"/>
    </row>
    <row r="22" spans="1:5" s="202" customFormat="1" ht="12" customHeight="1">
      <c r="A22" s="195" t="s">
        <v>70</v>
      </c>
      <c r="B22" s="6" t="s">
        <v>306</v>
      </c>
      <c r="C22" s="101"/>
      <c r="D22" s="243"/>
      <c r="E22" s="248"/>
    </row>
    <row r="23" spans="1:5" s="202" customFormat="1" ht="12" customHeight="1">
      <c r="A23" s="195" t="s">
        <v>71</v>
      </c>
      <c r="B23" s="6" t="s">
        <v>307</v>
      </c>
      <c r="C23" s="101"/>
      <c r="D23" s="243"/>
      <c r="E23" s="248"/>
    </row>
    <row r="24" spans="1:5" s="202" customFormat="1" ht="12" customHeight="1" thickBot="1">
      <c r="A24" s="195" t="s">
        <v>72</v>
      </c>
      <c r="B24" s="6" t="s">
        <v>410</v>
      </c>
      <c r="C24" s="101"/>
      <c r="D24" s="243"/>
      <c r="E24" s="248"/>
    </row>
    <row r="25" spans="1:5" s="202" customFormat="1" ht="12" customHeight="1" thickBot="1">
      <c r="A25" s="69" t="s">
        <v>8</v>
      </c>
      <c r="B25" s="51" t="s">
        <v>114</v>
      </c>
      <c r="C25" s="305"/>
      <c r="D25" s="307"/>
      <c r="E25" s="131"/>
    </row>
    <row r="26" spans="1:5" s="202" customFormat="1" ht="12" customHeight="1" thickBot="1">
      <c r="A26" s="69" t="s">
        <v>9</v>
      </c>
      <c r="B26" s="51" t="s">
        <v>308</v>
      </c>
      <c r="C26" s="104">
        <f>+C27+C28</f>
        <v>0</v>
      </c>
      <c r="D26" s="245">
        <f>+D27+D28</f>
        <v>0</v>
      </c>
      <c r="E26" s="132">
        <f>+E27+E28</f>
        <v>0</v>
      </c>
    </row>
    <row r="27" spans="1:5" s="202" customFormat="1" ht="12" customHeight="1">
      <c r="A27" s="196" t="s">
        <v>174</v>
      </c>
      <c r="B27" s="197" t="s">
        <v>306</v>
      </c>
      <c r="C27" s="255"/>
      <c r="D27" s="53"/>
      <c r="E27" s="253"/>
    </row>
    <row r="28" spans="1:5" s="202" customFormat="1" ht="12" customHeight="1">
      <c r="A28" s="196" t="s">
        <v>175</v>
      </c>
      <c r="B28" s="198" t="s">
        <v>309</v>
      </c>
      <c r="C28" s="105"/>
      <c r="D28" s="246"/>
      <c r="E28" s="250"/>
    </row>
    <row r="29" spans="1:5" s="202" customFormat="1" ht="12" customHeight="1" thickBot="1">
      <c r="A29" s="195" t="s">
        <v>176</v>
      </c>
      <c r="B29" s="56" t="s">
        <v>411</v>
      </c>
      <c r="C29" s="43"/>
      <c r="D29" s="309"/>
      <c r="E29" s="304"/>
    </row>
    <row r="30" spans="1:5" s="202" customFormat="1" ht="12" customHeight="1" thickBot="1">
      <c r="A30" s="69" t="s">
        <v>10</v>
      </c>
      <c r="B30" s="51" t="s">
        <v>310</v>
      </c>
      <c r="C30" s="104">
        <f>+C31+C32+C33</f>
        <v>0</v>
      </c>
      <c r="D30" s="245">
        <f>+D31+D32+D33</f>
        <v>0</v>
      </c>
      <c r="E30" s="132">
        <f>+E31+E32+E33</f>
        <v>0</v>
      </c>
    </row>
    <row r="31" spans="1:5" s="202" customFormat="1" ht="12" customHeight="1">
      <c r="A31" s="196" t="s">
        <v>56</v>
      </c>
      <c r="B31" s="197" t="s">
        <v>197</v>
      </c>
      <c r="C31" s="255"/>
      <c r="D31" s="53"/>
      <c r="E31" s="253"/>
    </row>
    <row r="32" spans="1:5" s="202" customFormat="1" ht="12" customHeight="1">
      <c r="A32" s="196" t="s">
        <v>57</v>
      </c>
      <c r="B32" s="198" t="s">
        <v>198</v>
      </c>
      <c r="C32" s="105"/>
      <c r="D32" s="246"/>
      <c r="E32" s="250"/>
    </row>
    <row r="33" spans="1:5" s="202" customFormat="1" ht="12" customHeight="1" thickBot="1">
      <c r="A33" s="195" t="s">
        <v>58</v>
      </c>
      <c r="B33" s="56" t="s">
        <v>199</v>
      </c>
      <c r="C33" s="43"/>
      <c r="D33" s="309"/>
      <c r="E33" s="304"/>
    </row>
    <row r="34" spans="1:5" s="137" customFormat="1" ht="12" customHeight="1" thickBot="1">
      <c r="A34" s="69" t="s">
        <v>11</v>
      </c>
      <c r="B34" s="51" t="s">
        <v>282</v>
      </c>
      <c r="C34" s="305"/>
      <c r="D34" s="307"/>
      <c r="E34" s="131"/>
    </row>
    <row r="35" spans="1:5" s="137" customFormat="1" ht="12" customHeight="1" thickBot="1">
      <c r="A35" s="69" t="s">
        <v>12</v>
      </c>
      <c r="B35" s="51" t="s">
        <v>311</v>
      </c>
      <c r="C35" s="305"/>
      <c r="D35" s="307"/>
      <c r="E35" s="131"/>
    </row>
    <row r="36" spans="1:5" s="137" customFormat="1" ht="12" customHeight="1" thickBot="1">
      <c r="A36" s="66" t="s">
        <v>13</v>
      </c>
      <c r="B36" s="51" t="s">
        <v>412</v>
      </c>
      <c r="C36" s="104">
        <f>+C8+C20+C25+C26+C30+C34+C35</f>
        <v>0</v>
      </c>
      <c r="D36" s="245">
        <f>+D8+D20+D25+D26+D30+D34+D35</f>
        <v>0</v>
      </c>
      <c r="E36" s="132">
        <f>+E8+E20+E25+E26+E30+E34+E35</f>
        <v>49011</v>
      </c>
    </row>
    <row r="37" spans="1:5" s="137" customFormat="1" ht="12" customHeight="1" thickBot="1">
      <c r="A37" s="75" t="s">
        <v>14</v>
      </c>
      <c r="B37" s="51" t="s">
        <v>313</v>
      </c>
      <c r="C37" s="104">
        <f>+C38+C39+C40</f>
        <v>714408</v>
      </c>
      <c r="D37" s="245">
        <f>+D38+D39+D40</f>
        <v>714408</v>
      </c>
      <c r="E37" s="132">
        <f>+E38+E39+E40</f>
        <v>714408</v>
      </c>
    </row>
    <row r="38" spans="1:5" s="137" customFormat="1" ht="12" customHeight="1">
      <c r="A38" s="196" t="s">
        <v>314</v>
      </c>
      <c r="B38" s="197" t="s">
        <v>147</v>
      </c>
      <c r="C38" s="255">
        <v>714408</v>
      </c>
      <c r="D38" s="53">
        <v>714408</v>
      </c>
      <c r="E38" s="253">
        <v>714408</v>
      </c>
    </row>
    <row r="39" spans="1:5" s="137" customFormat="1" ht="12" customHeight="1">
      <c r="A39" s="196" t="s">
        <v>315</v>
      </c>
      <c r="B39" s="198" t="s">
        <v>0</v>
      </c>
      <c r="C39" s="105"/>
      <c r="D39" s="246"/>
      <c r="E39" s="250"/>
    </row>
    <row r="40" spans="1:5" s="202" customFormat="1" ht="12" customHeight="1" thickBot="1">
      <c r="A40" s="195" t="s">
        <v>316</v>
      </c>
      <c r="B40" s="56" t="s">
        <v>317</v>
      </c>
      <c r="C40" s="43"/>
      <c r="D40" s="309"/>
      <c r="E40" s="304"/>
    </row>
    <row r="41" spans="1:5" s="202" customFormat="1" ht="15" customHeight="1" thickBot="1">
      <c r="A41" s="75" t="s">
        <v>15</v>
      </c>
      <c r="B41" s="76" t="s">
        <v>318</v>
      </c>
      <c r="C41" s="306">
        <f>+C36+C37</f>
        <v>714408</v>
      </c>
      <c r="D41" s="302">
        <f>+D36+D37</f>
        <v>714408</v>
      </c>
      <c r="E41" s="135">
        <f>+E36+E37</f>
        <v>763419</v>
      </c>
    </row>
    <row r="42" spans="1:3" s="202" customFormat="1" ht="15" customHeight="1">
      <c r="A42" s="77"/>
      <c r="B42" s="78"/>
      <c r="C42" s="133"/>
    </row>
    <row r="43" spans="1:3" ht="13.5" thickBot="1">
      <c r="A43" s="79"/>
      <c r="B43" s="80"/>
      <c r="C43" s="134"/>
    </row>
    <row r="44" spans="1:5" s="201" customFormat="1" ht="16.5" customHeight="1" thickBot="1">
      <c r="A44" s="891" t="s">
        <v>41</v>
      </c>
      <c r="B44" s="892"/>
      <c r="C44" s="892"/>
      <c r="D44" s="892"/>
      <c r="E44" s="893"/>
    </row>
    <row r="45" spans="1:5" s="203" customFormat="1" ht="12" customHeight="1" thickBot="1">
      <c r="A45" s="69" t="s">
        <v>6</v>
      </c>
      <c r="B45" s="51" t="s">
        <v>319</v>
      </c>
      <c r="C45" s="104">
        <f>SUM(C46:C50)</f>
        <v>57937790</v>
      </c>
      <c r="D45" s="245">
        <f>SUM(D46:D50)</f>
        <v>57937790</v>
      </c>
      <c r="E45" s="132">
        <f>SUM(E46:E50)</f>
        <v>48436716</v>
      </c>
    </row>
    <row r="46" spans="1:5" ht="12" customHeight="1">
      <c r="A46" s="195" t="s">
        <v>63</v>
      </c>
      <c r="B46" s="7" t="s">
        <v>35</v>
      </c>
      <c r="C46" s="255">
        <v>43745783</v>
      </c>
      <c r="D46" s="53">
        <v>43745783</v>
      </c>
      <c r="E46" s="253">
        <v>37314127</v>
      </c>
    </row>
    <row r="47" spans="1:5" ht="12" customHeight="1">
      <c r="A47" s="195" t="s">
        <v>64</v>
      </c>
      <c r="B47" s="6" t="s">
        <v>123</v>
      </c>
      <c r="C47" s="42">
        <v>7206516</v>
      </c>
      <c r="D47" s="54">
        <v>7206516</v>
      </c>
      <c r="E47" s="251">
        <v>5669658</v>
      </c>
    </row>
    <row r="48" spans="1:5" ht="12" customHeight="1">
      <c r="A48" s="195" t="s">
        <v>65</v>
      </c>
      <c r="B48" s="6" t="s">
        <v>91</v>
      </c>
      <c r="C48" s="42">
        <v>6985491</v>
      </c>
      <c r="D48" s="54">
        <v>6985491</v>
      </c>
      <c r="E48" s="251">
        <v>5452931</v>
      </c>
    </row>
    <row r="49" spans="1:5" ht="12" customHeight="1">
      <c r="A49" s="195" t="s">
        <v>66</v>
      </c>
      <c r="B49" s="6" t="s">
        <v>124</v>
      </c>
      <c r="C49" s="42"/>
      <c r="D49" s="54"/>
      <c r="E49" s="251"/>
    </row>
    <row r="50" spans="1:5" ht="12" customHeight="1" thickBot="1">
      <c r="A50" s="195" t="s">
        <v>98</v>
      </c>
      <c r="B50" s="6" t="s">
        <v>125</v>
      </c>
      <c r="C50" s="42"/>
      <c r="D50" s="54"/>
      <c r="E50" s="251"/>
    </row>
    <row r="51" spans="1:5" ht="12" customHeight="1" thickBot="1">
      <c r="A51" s="69" t="s">
        <v>7</v>
      </c>
      <c r="B51" s="51" t="s">
        <v>320</v>
      </c>
      <c r="C51" s="104">
        <f>SUM(C52:C54)</f>
        <v>974400</v>
      </c>
      <c r="D51" s="245">
        <f>SUM(D52:D54)</f>
        <v>974400</v>
      </c>
      <c r="E51" s="132">
        <f>SUM(E52:E54)</f>
        <v>797868</v>
      </c>
    </row>
    <row r="52" spans="1:5" s="203" customFormat="1" ht="12" customHeight="1">
      <c r="A52" s="195" t="s">
        <v>69</v>
      </c>
      <c r="B52" s="7" t="s">
        <v>140</v>
      </c>
      <c r="C52" s="255">
        <v>800400</v>
      </c>
      <c r="D52" s="53">
        <v>812400</v>
      </c>
      <c r="E52" s="253">
        <v>777868</v>
      </c>
    </row>
    <row r="53" spans="1:5" ht="12" customHeight="1">
      <c r="A53" s="195" t="s">
        <v>70</v>
      </c>
      <c r="B53" s="6" t="s">
        <v>127</v>
      </c>
      <c r="C53" s="42">
        <v>174000</v>
      </c>
      <c r="D53" s="54">
        <v>162000</v>
      </c>
      <c r="E53" s="251">
        <v>20000</v>
      </c>
    </row>
    <row r="54" spans="1:5" ht="12" customHeight="1">
      <c r="A54" s="195" t="s">
        <v>71</v>
      </c>
      <c r="B54" s="6" t="s">
        <v>42</v>
      </c>
      <c r="C54" s="42"/>
      <c r="D54" s="54"/>
      <c r="E54" s="251"/>
    </row>
    <row r="55" spans="1:5" ht="12" customHeight="1" thickBot="1">
      <c r="A55" s="195" t="s">
        <v>72</v>
      </c>
      <c r="B55" s="6" t="s">
        <v>409</v>
      </c>
      <c r="C55" s="42"/>
      <c r="D55" s="54"/>
      <c r="E55" s="251"/>
    </row>
    <row r="56" spans="1:5" ht="15" customHeight="1" thickBot="1">
      <c r="A56" s="69" t="s">
        <v>8</v>
      </c>
      <c r="B56" s="51" t="s">
        <v>2</v>
      </c>
      <c r="C56" s="305"/>
      <c r="D56" s="307"/>
      <c r="E56" s="131"/>
    </row>
    <row r="57" spans="1:5" ht="13.5" thickBot="1">
      <c r="A57" s="69" t="s">
        <v>9</v>
      </c>
      <c r="B57" s="81" t="s">
        <v>413</v>
      </c>
      <c r="C57" s="306">
        <f>+C45+C51+C56</f>
        <v>58912190</v>
      </c>
      <c r="D57" s="302">
        <f>+D45+D51+D56</f>
        <v>58912190</v>
      </c>
      <c r="E57" s="135">
        <f>+E45+E51+E56</f>
        <v>49234584</v>
      </c>
    </row>
    <row r="58" spans="3:4" ht="15" customHeight="1" thickBot="1">
      <c r="C58" s="546">
        <f>C41-C57</f>
        <v>-58197782</v>
      </c>
      <c r="D58" s="546">
        <f>D41-D57</f>
        <v>-58197782</v>
      </c>
    </row>
    <row r="59" spans="1:5" ht="14.25" customHeight="1" thickBot="1">
      <c r="A59" s="311" t="s">
        <v>488</v>
      </c>
      <c r="B59" s="312"/>
      <c r="C59" s="300">
        <v>11</v>
      </c>
      <c r="D59" s="300">
        <v>11</v>
      </c>
      <c r="E59" s="299">
        <v>11</v>
      </c>
    </row>
    <row r="60" spans="1:5" ht="13.5" thickBot="1">
      <c r="A60" s="313" t="s">
        <v>489</v>
      </c>
      <c r="B60" s="314"/>
      <c r="C60" s="300">
        <v>0</v>
      </c>
      <c r="D60" s="300">
        <v>0</v>
      </c>
      <c r="E60" s="299">
        <v>0</v>
      </c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E60"/>
  <sheetViews>
    <sheetView view="pageBreakPreview" zoomScale="60" zoomScaleNormal="120" workbookViewId="0" topLeftCell="A1">
      <selection activeCell="B2" sqref="B2:D2"/>
    </sheetView>
  </sheetViews>
  <sheetFormatPr defaultColWidth="9.00390625" defaultRowHeight="12.75"/>
  <cols>
    <col min="1" max="1" width="13.875" style="82" customWidth="1"/>
    <col min="2" max="2" width="54.50390625" style="83" customWidth="1"/>
    <col min="3" max="5" width="15.875" style="83" customWidth="1"/>
    <col min="6" max="16384" width="9.375" style="83" customWidth="1"/>
  </cols>
  <sheetData>
    <row r="1" spans="1:5" s="73" customFormat="1" ht="16.5" thickBot="1">
      <c r="A1" s="358"/>
      <c r="B1" s="900" t="s">
        <v>1256</v>
      </c>
      <c r="C1" s="901"/>
      <c r="D1" s="901"/>
      <c r="E1" s="901"/>
    </row>
    <row r="2" spans="1:5" s="199" customFormat="1" ht="25.5" customHeight="1" thickBot="1">
      <c r="A2" s="359" t="s">
        <v>455</v>
      </c>
      <c r="B2" s="897" t="s">
        <v>622</v>
      </c>
      <c r="C2" s="898"/>
      <c r="D2" s="899"/>
      <c r="E2" s="360" t="s">
        <v>44</v>
      </c>
    </row>
    <row r="3" spans="1:5" s="199" customFormat="1" ht="24.75" thickBot="1">
      <c r="A3" s="359" t="s">
        <v>136</v>
      </c>
      <c r="B3" s="897" t="s">
        <v>321</v>
      </c>
      <c r="C3" s="898"/>
      <c r="D3" s="899"/>
      <c r="E3" s="360" t="s">
        <v>43</v>
      </c>
    </row>
    <row r="4" spans="1:5" s="200" customFormat="1" ht="15.75" customHeight="1" thickBot="1">
      <c r="A4" s="361"/>
      <c r="B4" s="361"/>
      <c r="C4" s="362"/>
      <c r="D4" s="363"/>
      <c r="E4" s="362" t="str">
        <f>'[1]Z_6.3.sz.mell'!E4</f>
        <v> Forintban!</v>
      </c>
    </row>
    <row r="5" spans="1:5" ht="24.75" thickBot="1">
      <c r="A5" s="364" t="s">
        <v>137</v>
      </c>
      <c r="B5" s="365" t="s">
        <v>487</v>
      </c>
      <c r="C5" s="365" t="s">
        <v>453</v>
      </c>
      <c r="D5" s="366" t="s">
        <v>454</v>
      </c>
      <c r="E5" s="347" t="str">
        <f>CONCATENATE('[2]12'!E5)</f>
        <v>Teljesítés
2021. XII. 31.</v>
      </c>
    </row>
    <row r="6" spans="1:5" s="201" customFormat="1" ht="12.75" customHeight="1" thickBot="1">
      <c r="A6" s="397" t="s">
        <v>384</v>
      </c>
      <c r="B6" s="398" t="s">
        <v>385</v>
      </c>
      <c r="C6" s="398" t="s">
        <v>386</v>
      </c>
      <c r="D6" s="399" t="s">
        <v>388</v>
      </c>
      <c r="E6" s="400" t="s">
        <v>387</v>
      </c>
    </row>
    <row r="7" spans="1:5" s="201" customFormat="1" ht="15.75" customHeight="1" thickBot="1">
      <c r="A7" s="891" t="s">
        <v>40</v>
      </c>
      <c r="B7" s="892"/>
      <c r="C7" s="892"/>
      <c r="D7" s="892"/>
      <c r="E7" s="893"/>
    </row>
    <row r="8" spans="1:5" s="137" customFormat="1" ht="12" customHeight="1" thickBot="1">
      <c r="A8" s="66" t="s">
        <v>6</v>
      </c>
      <c r="B8" s="74" t="s">
        <v>405</v>
      </c>
      <c r="C8" s="104">
        <f>SUM(C9:C19)</f>
        <v>0</v>
      </c>
      <c r="D8" s="104">
        <f>SUM(D9:D19)</f>
        <v>0</v>
      </c>
      <c r="E8" s="106">
        <f>SUM(E9:E19)</f>
        <v>49011</v>
      </c>
    </row>
    <row r="9" spans="1:5" s="137" customFormat="1" ht="12" customHeight="1">
      <c r="A9" s="194" t="s">
        <v>63</v>
      </c>
      <c r="B9" s="8" t="s">
        <v>183</v>
      </c>
      <c r="C9" s="256"/>
      <c r="D9" s="256"/>
      <c r="E9" s="303"/>
    </row>
    <row r="10" spans="1:5" s="137" customFormat="1" ht="12" customHeight="1">
      <c r="A10" s="195" t="s">
        <v>64</v>
      </c>
      <c r="B10" s="6" t="s">
        <v>184</v>
      </c>
      <c r="C10" s="101"/>
      <c r="D10" s="243"/>
      <c r="E10" s="248"/>
    </row>
    <row r="11" spans="1:5" s="137" customFormat="1" ht="12" customHeight="1">
      <c r="A11" s="195" t="s">
        <v>65</v>
      </c>
      <c r="B11" s="6" t="s">
        <v>185</v>
      </c>
      <c r="C11" s="101"/>
      <c r="D11" s="243"/>
      <c r="E11" s="248"/>
    </row>
    <row r="12" spans="1:5" s="137" customFormat="1" ht="12" customHeight="1">
      <c r="A12" s="195" t="s">
        <v>66</v>
      </c>
      <c r="B12" s="6" t="s">
        <v>186</v>
      </c>
      <c r="C12" s="101"/>
      <c r="D12" s="243"/>
      <c r="E12" s="248"/>
    </row>
    <row r="13" spans="1:5" s="137" customFormat="1" ht="12" customHeight="1">
      <c r="A13" s="195" t="s">
        <v>98</v>
      </c>
      <c r="B13" s="6" t="s">
        <v>187</v>
      </c>
      <c r="C13" s="101"/>
      <c r="D13" s="243"/>
      <c r="E13" s="248"/>
    </row>
    <row r="14" spans="1:5" s="137" customFormat="1" ht="12" customHeight="1">
      <c r="A14" s="195" t="s">
        <v>67</v>
      </c>
      <c r="B14" s="6" t="s">
        <v>303</v>
      </c>
      <c r="C14" s="101"/>
      <c r="D14" s="243"/>
      <c r="E14" s="248"/>
    </row>
    <row r="15" spans="1:5" s="137" customFormat="1" ht="12" customHeight="1">
      <c r="A15" s="195" t="s">
        <v>68</v>
      </c>
      <c r="B15" s="5" t="s">
        <v>304</v>
      </c>
      <c r="C15" s="101"/>
      <c r="D15" s="243"/>
      <c r="E15" s="248"/>
    </row>
    <row r="16" spans="1:5" s="137" customFormat="1" ht="12" customHeight="1">
      <c r="A16" s="195" t="s">
        <v>76</v>
      </c>
      <c r="B16" s="6" t="s">
        <v>190</v>
      </c>
      <c r="C16" s="254"/>
      <c r="D16" s="308"/>
      <c r="E16" s="252">
        <v>5</v>
      </c>
    </row>
    <row r="17" spans="1:5" s="202" customFormat="1" ht="12" customHeight="1">
      <c r="A17" s="195" t="s">
        <v>77</v>
      </c>
      <c r="B17" s="6" t="s">
        <v>191</v>
      </c>
      <c r="C17" s="101"/>
      <c r="D17" s="243"/>
      <c r="E17" s="248"/>
    </row>
    <row r="18" spans="1:5" s="202" customFormat="1" ht="12" customHeight="1">
      <c r="A18" s="195" t="s">
        <v>78</v>
      </c>
      <c r="B18" s="6" t="s">
        <v>336</v>
      </c>
      <c r="C18" s="103"/>
      <c r="D18" s="244"/>
      <c r="E18" s="249"/>
    </row>
    <row r="19" spans="1:5" s="202" customFormat="1" ht="12" customHeight="1" thickBot="1">
      <c r="A19" s="195" t="s">
        <v>79</v>
      </c>
      <c r="B19" s="5" t="s">
        <v>192</v>
      </c>
      <c r="C19" s="103"/>
      <c r="D19" s="244"/>
      <c r="E19" s="249">
        <v>49006</v>
      </c>
    </row>
    <row r="20" spans="1:5" s="137" customFormat="1" ht="12" customHeight="1" thickBot="1">
      <c r="A20" s="66" t="s">
        <v>7</v>
      </c>
      <c r="B20" s="74" t="s">
        <v>305</v>
      </c>
      <c r="C20" s="104">
        <f>SUM(C21:C23)</f>
        <v>0</v>
      </c>
      <c r="D20" s="245">
        <f>SUM(D21:D23)</f>
        <v>0</v>
      </c>
      <c r="E20" s="132">
        <f>SUM(E21:E23)</f>
        <v>0</v>
      </c>
    </row>
    <row r="21" spans="1:5" s="202" customFormat="1" ht="12" customHeight="1">
      <c r="A21" s="195" t="s">
        <v>69</v>
      </c>
      <c r="B21" s="7" t="s">
        <v>165</v>
      </c>
      <c r="C21" s="101"/>
      <c r="D21" s="243"/>
      <c r="E21" s="248"/>
    </row>
    <row r="22" spans="1:5" s="202" customFormat="1" ht="12" customHeight="1">
      <c r="A22" s="195" t="s">
        <v>70</v>
      </c>
      <c r="B22" s="6" t="s">
        <v>306</v>
      </c>
      <c r="C22" s="101"/>
      <c r="D22" s="243"/>
      <c r="E22" s="248"/>
    </row>
    <row r="23" spans="1:5" s="202" customFormat="1" ht="12" customHeight="1">
      <c r="A23" s="195" t="s">
        <v>71</v>
      </c>
      <c r="B23" s="6" t="s">
        <v>307</v>
      </c>
      <c r="C23" s="101"/>
      <c r="D23" s="243"/>
      <c r="E23" s="248"/>
    </row>
    <row r="24" spans="1:5" s="202" customFormat="1" ht="12" customHeight="1" thickBot="1">
      <c r="A24" s="195" t="s">
        <v>72</v>
      </c>
      <c r="B24" s="6" t="s">
        <v>410</v>
      </c>
      <c r="C24" s="101"/>
      <c r="D24" s="243"/>
      <c r="E24" s="248"/>
    </row>
    <row r="25" spans="1:5" s="202" customFormat="1" ht="12" customHeight="1" thickBot="1">
      <c r="A25" s="69" t="s">
        <v>8</v>
      </c>
      <c r="B25" s="51" t="s">
        <v>114</v>
      </c>
      <c r="C25" s="305"/>
      <c r="D25" s="307"/>
      <c r="E25" s="131"/>
    </row>
    <row r="26" spans="1:5" s="202" customFormat="1" ht="12" customHeight="1" thickBot="1">
      <c r="A26" s="69" t="s">
        <v>9</v>
      </c>
      <c r="B26" s="51" t="s">
        <v>308</v>
      </c>
      <c r="C26" s="104">
        <f>+C27+C28</f>
        <v>0</v>
      </c>
      <c r="D26" s="245">
        <f>+D27+D28</f>
        <v>0</v>
      </c>
      <c r="E26" s="132">
        <f>+E27+E28</f>
        <v>0</v>
      </c>
    </row>
    <row r="27" spans="1:5" s="202" customFormat="1" ht="12" customHeight="1">
      <c r="A27" s="196" t="s">
        <v>174</v>
      </c>
      <c r="B27" s="197" t="s">
        <v>306</v>
      </c>
      <c r="C27" s="255"/>
      <c r="D27" s="53"/>
      <c r="E27" s="253"/>
    </row>
    <row r="28" spans="1:5" s="202" customFormat="1" ht="12" customHeight="1">
      <c r="A28" s="196" t="s">
        <v>175</v>
      </c>
      <c r="B28" s="198" t="s">
        <v>309</v>
      </c>
      <c r="C28" s="105"/>
      <c r="D28" s="246"/>
      <c r="E28" s="250"/>
    </row>
    <row r="29" spans="1:5" s="202" customFormat="1" ht="12" customHeight="1" thickBot="1">
      <c r="A29" s="195" t="s">
        <v>176</v>
      </c>
      <c r="B29" s="56" t="s">
        <v>411</v>
      </c>
      <c r="C29" s="43"/>
      <c r="D29" s="309"/>
      <c r="E29" s="304"/>
    </row>
    <row r="30" spans="1:5" s="202" customFormat="1" ht="12" customHeight="1" thickBot="1">
      <c r="A30" s="69" t="s">
        <v>10</v>
      </c>
      <c r="B30" s="51" t="s">
        <v>310</v>
      </c>
      <c r="C30" s="104">
        <f>+C31+C32+C33</f>
        <v>0</v>
      </c>
      <c r="D30" s="245">
        <f>+D31+D32+D33</f>
        <v>0</v>
      </c>
      <c r="E30" s="132">
        <f>+E31+E32+E33</f>
        <v>0</v>
      </c>
    </row>
    <row r="31" spans="1:5" s="202" customFormat="1" ht="12" customHeight="1">
      <c r="A31" s="196" t="s">
        <v>56</v>
      </c>
      <c r="B31" s="197" t="s">
        <v>197</v>
      </c>
      <c r="C31" s="255"/>
      <c r="D31" s="53"/>
      <c r="E31" s="253"/>
    </row>
    <row r="32" spans="1:5" s="202" customFormat="1" ht="12" customHeight="1">
      <c r="A32" s="196" t="s">
        <v>57</v>
      </c>
      <c r="B32" s="198" t="s">
        <v>198</v>
      </c>
      <c r="C32" s="105"/>
      <c r="D32" s="246"/>
      <c r="E32" s="250"/>
    </row>
    <row r="33" spans="1:5" s="202" customFormat="1" ht="12" customHeight="1" thickBot="1">
      <c r="A33" s="195" t="s">
        <v>58</v>
      </c>
      <c r="B33" s="56" t="s">
        <v>199</v>
      </c>
      <c r="C33" s="43"/>
      <c r="D33" s="309"/>
      <c r="E33" s="304"/>
    </row>
    <row r="34" spans="1:5" s="137" customFormat="1" ht="12" customHeight="1" thickBot="1">
      <c r="A34" s="69" t="s">
        <v>11</v>
      </c>
      <c r="B34" s="51" t="s">
        <v>282</v>
      </c>
      <c r="C34" s="305"/>
      <c r="D34" s="307"/>
      <c r="E34" s="131"/>
    </row>
    <row r="35" spans="1:5" s="137" customFormat="1" ht="12" customHeight="1" thickBot="1">
      <c r="A35" s="69" t="s">
        <v>12</v>
      </c>
      <c r="B35" s="51" t="s">
        <v>311</v>
      </c>
      <c r="C35" s="305"/>
      <c r="D35" s="307"/>
      <c r="E35" s="131"/>
    </row>
    <row r="36" spans="1:5" s="137" customFormat="1" ht="12" customHeight="1" thickBot="1">
      <c r="A36" s="66" t="s">
        <v>13</v>
      </c>
      <c r="B36" s="51" t="s">
        <v>412</v>
      </c>
      <c r="C36" s="104">
        <f>+C8+C20+C25+C26+C30+C34+C35</f>
        <v>0</v>
      </c>
      <c r="D36" s="245">
        <f>+D8+D20+D25+D26+D30+D34+D35</f>
        <v>0</v>
      </c>
      <c r="E36" s="132">
        <f>+E8+E20+E25+E26+E30+E34+E35</f>
        <v>49011</v>
      </c>
    </row>
    <row r="37" spans="1:5" s="137" customFormat="1" ht="12" customHeight="1" thickBot="1">
      <c r="A37" s="75" t="s">
        <v>14</v>
      </c>
      <c r="B37" s="51" t="s">
        <v>313</v>
      </c>
      <c r="C37" s="104">
        <f>+C38+C39+C40</f>
        <v>714408</v>
      </c>
      <c r="D37" s="245">
        <f>+D38+D39+D40</f>
        <v>714408</v>
      </c>
      <c r="E37" s="132">
        <f>+E38+E39+E40</f>
        <v>714408</v>
      </c>
    </row>
    <row r="38" spans="1:5" s="137" customFormat="1" ht="12" customHeight="1">
      <c r="A38" s="196" t="s">
        <v>314</v>
      </c>
      <c r="B38" s="197" t="s">
        <v>147</v>
      </c>
      <c r="C38" s="255">
        <v>714408</v>
      </c>
      <c r="D38" s="53">
        <v>714408</v>
      </c>
      <c r="E38" s="253">
        <v>714408</v>
      </c>
    </row>
    <row r="39" spans="1:5" s="137" customFormat="1" ht="12" customHeight="1">
      <c r="A39" s="196" t="s">
        <v>315</v>
      </c>
      <c r="B39" s="198" t="s">
        <v>0</v>
      </c>
      <c r="C39" s="105"/>
      <c r="D39" s="246"/>
      <c r="E39" s="250"/>
    </row>
    <row r="40" spans="1:5" s="202" customFormat="1" ht="12" customHeight="1" thickBot="1">
      <c r="A40" s="195" t="s">
        <v>316</v>
      </c>
      <c r="B40" s="56" t="s">
        <v>317</v>
      </c>
      <c r="C40" s="43"/>
      <c r="D40" s="309"/>
      <c r="E40" s="304"/>
    </row>
    <row r="41" spans="1:5" s="202" customFormat="1" ht="15" customHeight="1" thickBot="1">
      <c r="A41" s="75" t="s">
        <v>15</v>
      </c>
      <c r="B41" s="76" t="s">
        <v>318</v>
      </c>
      <c r="C41" s="306">
        <f>+C36+C37</f>
        <v>714408</v>
      </c>
      <c r="D41" s="302">
        <f>+D36+D37</f>
        <v>714408</v>
      </c>
      <c r="E41" s="135">
        <f>+E36+E37</f>
        <v>763419</v>
      </c>
    </row>
    <row r="42" spans="1:3" s="202" customFormat="1" ht="15" customHeight="1">
      <c r="A42" s="77"/>
      <c r="B42" s="78"/>
      <c r="C42" s="133"/>
    </row>
    <row r="43" spans="1:3" ht="13.5" thickBot="1">
      <c r="A43" s="79"/>
      <c r="B43" s="80"/>
      <c r="C43" s="134"/>
    </row>
    <row r="44" spans="1:5" s="201" customFormat="1" ht="16.5" customHeight="1" thickBot="1">
      <c r="A44" s="891" t="s">
        <v>41</v>
      </c>
      <c r="B44" s="892"/>
      <c r="C44" s="892"/>
      <c r="D44" s="892"/>
      <c r="E44" s="893"/>
    </row>
    <row r="45" spans="1:5" s="203" customFormat="1" ht="12" customHeight="1" thickBot="1">
      <c r="A45" s="69" t="s">
        <v>6</v>
      </c>
      <c r="B45" s="51" t="s">
        <v>319</v>
      </c>
      <c r="C45" s="104">
        <f>SUM(C46:C50)</f>
        <v>57937790</v>
      </c>
      <c r="D45" s="245">
        <f>SUM(D46:D50)</f>
        <v>57937790</v>
      </c>
      <c r="E45" s="132">
        <f>SUM(E46:E50)</f>
        <v>48436716</v>
      </c>
    </row>
    <row r="46" spans="1:5" ht="12" customHeight="1">
      <c r="A46" s="195" t="s">
        <v>63</v>
      </c>
      <c r="B46" s="7" t="s">
        <v>35</v>
      </c>
      <c r="C46" s="255">
        <v>43745783</v>
      </c>
      <c r="D46" s="53">
        <v>43745783</v>
      </c>
      <c r="E46" s="253">
        <v>37314127</v>
      </c>
    </row>
    <row r="47" spans="1:5" ht="12" customHeight="1">
      <c r="A47" s="195" t="s">
        <v>64</v>
      </c>
      <c r="B47" s="6" t="s">
        <v>123</v>
      </c>
      <c r="C47" s="42">
        <v>7206516</v>
      </c>
      <c r="D47" s="54">
        <v>7206516</v>
      </c>
      <c r="E47" s="251">
        <v>5669658</v>
      </c>
    </row>
    <row r="48" spans="1:5" ht="12" customHeight="1">
      <c r="A48" s="195" t="s">
        <v>65</v>
      </c>
      <c r="B48" s="6" t="s">
        <v>91</v>
      </c>
      <c r="C48" s="42">
        <v>6985491</v>
      </c>
      <c r="D48" s="54">
        <v>6985491</v>
      </c>
      <c r="E48" s="251">
        <v>5452931</v>
      </c>
    </row>
    <row r="49" spans="1:5" ht="12" customHeight="1">
      <c r="A49" s="195" t="s">
        <v>66</v>
      </c>
      <c r="B49" s="6" t="s">
        <v>124</v>
      </c>
      <c r="C49" s="42"/>
      <c r="D49" s="54"/>
      <c r="E49" s="251"/>
    </row>
    <row r="50" spans="1:5" ht="12" customHeight="1" thickBot="1">
      <c r="A50" s="195" t="s">
        <v>98</v>
      </c>
      <c r="B50" s="6" t="s">
        <v>125</v>
      </c>
      <c r="C50" s="42"/>
      <c r="D50" s="54"/>
      <c r="E50" s="251"/>
    </row>
    <row r="51" spans="1:5" ht="12" customHeight="1" thickBot="1">
      <c r="A51" s="69" t="s">
        <v>7</v>
      </c>
      <c r="B51" s="51" t="s">
        <v>320</v>
      </c>
      <c r="C51" s="104">
        <f>SUM(C52:C54)</f>
        <v>974400</v>
      </c>
      <c r="D51" s="245">
        <f>SUM(D52:D54)</f>
        <v>974400</v>
      </c>
      <c r="E51" s="132">
        <f>SUM(E52:E54)</f>
        <v>797868</v>
      </c>
    </row>
    <row r="52" spans="1:5" s="203" customFormat="1" ht="12" customHeight="1">
      <c r="A52" s="195" t="s">
        <v>69</v>
      </c>
      <c r="B52" s="7" t="s">
        <v>140</v>
      </c>
      <c r="C52" s="255">
        <v>800400</v>
      </c>
      <c r="D52" s="53">
        <v>812400</v>
      </c>
      <c r="E52" s="253">
        <v>777868</v>
      </c>
    </row>
    <row r="53" spans="1:5" ht="12" customHeight="1">
      <c r="A53" s="195" t="s">
        <v>70</v>
      </c>
      <c r="B53" s="6" t="s">
        <v>127</v>
      </c>
      <c r="C53" s="42">
        <v>174000</v>
      </c>
      <c r="D53" s="54">
        <v>162000</v>
      </c>
      <c r="E53" s="251">
        <v>20000</v>
      </c>
    </row>
    <row r="54" spans="1:5" ht="12" customHeight="1">
      <c r="A54" s="195" t="s">
        <v>71</v>
      </c>
      <c r="B54" s="6" t="s">
        <v>42</v>
      </c>
      <c r="C54" s="42"/>
      <c r="D54" s="54"/>
      <c r="E54" s="251"/>
    </row>
    <row r="55" spans="1:5" ht="12" customHeight="1" thickBot="1">
      <c r="A55" s="195" t="s">
        <v>72</v>
      </c>
      <c r="B55" s="6" t="s">
        <v>409</v>
      </c>
      <c r="C55" s="42"/>
      <c r="D55" s="54"/>
      <c r="E55" s="251"/>
    </row>
    <row r="56" spans="1:5" ht="15" customHeight="1" thickBot="1">
      <c r="A56" s="69" t="s">
        <v>8</v>
      </c>
      <c r="B56" s="51" t="s">
        <v>2</v>
      </c>
      <c r="C56" s="305"/>
      <c r="D56" s="307"/>
      <c r="E56" s="131"/>
    </row>
    <row r="57" spans="1:5" ht="13.5" thickBot="1">
      <c r="A57" s="69" t="s">
        <v>9</v>
      </c>
      <c r="B57" s="81" t="s">
        <v>413</v>
      </c>
      <c r="C57" s="306">
        <f>+C45+C51+C56</f>
        <v>58912190</v>
      </c>
      <c r="D57" s="302">
        <f>+D45+D51+D56</f>
        <v>58912190</v>
      </c>
      <c r="E57" s="135">
        <f>+E45+E51+E56</f>
        <v>49234584</v>
      </c>
    </row>
    <row r="58" spans="3:4" ht="15" customHeight="1" thickBot="1">
      <c r="C58" s="546">
        <f>C41-C57</f>
        <v>-58197782</v>
      </c>
      <c r="D58" s="546">
        <f>D41-D57</f>
        <v>-58197782</v>
      </c>
    </row>
    <row r="59" spans="1:5" ht="14.25" customHeight="1" thickBot="1">
      <c r="A59" s="311" t="s">
        <v>488</v>
      </c>
      <c r="B59" s="312"/>
      <c r="C59" s="300">
        <v>11</v>
      </c>
      <c r="D59" s="300">
        <v>11</v>
      </c>
      <c r="E59" s="299">
        <v>11</v>
      </c>
    </row>
    <row r="60" spans="1:5" ht="13.5" thickBot="1">
      <c r="A60" s="313" t="s">
        <v>489</v>
      </c>
      <c r="B60" s="314"/>
      <c r="C60" s="300">
        <v>0</v>
      </c>
      <c r="D60" s="300">
        <v>0</v>
      </c>
      <c r="E60" s="299">
        <v>0</v>
      </c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E60"/>
  <sheetViews>
    <sheetView view="pageBreakPreview" zoomScale="60" zoomScaleNormal="120" workbookViewId="0" topLeftCell="A1">
      <selection activeCell="B2" sqref="B2:D2"/>
    </sheetView>
  </sheetViews>
  <sheetFormatPr defaultColWidth="9.00390625" defaultRowHeight="12.75"/>
  <cols>
    <col min="1" max="1" width="13.875" style="82" customWidth="1"/>
    <col min="2" max="2" width="54.50390625" style="83" customWidth="1"/>
    <col min="3" max="5" width="15.875" style="83" customWidth="1"/>
    <col min="6" max="16384" width="9.375" style="83" customWidth="1"/>
  </cols>
  <sheetData>
    <row r="1" spans="1:5" s="73" customFormat="1" ht="16.5" thickBot="1">
      <c r="A1" s="358"/>
      <c r="B1" s="900" t="str">
        <f>CONCATENATE("20. melléklet ",Z_ALAPADATOK!A7," ",Z_ALAPADATOK!B7," ",Z_ALAPADATOK!C7," ",Z_ALAPADATOK!D7," ",Z_ALAPADATOK!E7," ",Z_ALAPADATOK!F7," ",Z_ALAPADATOK!G7," ",Z_ALAPADATOK!H7)</f>
        <v>20. melléklet a 3 / 2022. ( V. 26. ) önkormányzati rendelethez</v>
      </c>
      <c r="C1" s="901"/>
      <c r="D1" s="901"/>
      <c r="E1" s="901"/>
    </row>
    <row r="2" spans="1:5" s="199" customFormat="1" ht="25.5" customHeight="1" thickBot="1">
      <c r="A2" s="359" t="s">
        <v>455</v>
      </c>
      <c r="B2" s="897" t="str">
        <f>CONCATENATE('19'!B2:D2)</f>
        <v>Balatonvilágosi Szivárvány óvoda</v>
      </c>
      <c r="C2" s="898"/>
      <c r="D2" s="899"/>
      <c r="E2" s="360" t="s">
        <v>44</v>
      </c>
    </row>
    <row r="3" spans="1:5" s="199" customFormat="1" ht="24.75" thickBot="1">
      <c r="A3" s="359" t="s">
        <v>136</v>
      </c>
      <c r="B3" s="897" t="s">
        <v>322</v>
      </c>
      <c r="C3" s="898"/>
      <c r="D3" s="899"/>
      <c r="E3" s="360" t="s">
        <v>44</v>
      </c>
    </row>
    <row r="4" spans="1:5" s="200" customFormat="1" ht="15.75" customHeight="1" thickBot="1">
      <c r="A4" s="361"/>
      <c r="B4" s="361"/>
      <c r="C4" s="362"/>
      <c r="D4" s="363"/>
      <c r="E4" s="362" t="str">
        <f>'19'!E4</f>
        <v> Forintban!</v>
      </c>
    </row>
    <row r="5" spans="1:5" ht="24.75" thickBot="1">
      <c r="A5" s="364" t="s">
        <v>137</v>
      </c>
      <c r="B5" s="365" t="s">
        <v>487</v>
      </c>
      <c r="C5" s="365" t="s">
        <v>453</v>
      </c>
      <c r="D5" s="366" t="s">
        <v>454</v>
      </c>
      <c r="E5" s="347" t="str">
        <f>+CONCATENATE("Teljesítés",CHAR(10),LEFT(Z_ÖSSZEFÜGGÉSEK!A6,4),". XII. 31.")</f>
        <v>Teljesítés
2021. XII. 31.</v>
      </c>
    </row>
    <row r="6" spans="1:5" s="201" customFormat="1" ht="12.75" customHeight="1" thickBot="1">
      <c r="A6" s="397" t="s">
        <v>384</v>
      </c>
      <c r="B6" s="398" t="s">
        <v>385</v>
      </c>
      <c r="C6" s="398" t="s">
        <v>386</v>
      </c>
      <c r="D6" s="399" t="s">
        <v>388</v>
      </c>
      <c r="E6" s="400" t="s">
        <v>387</v>
      </c>
    </row>
    <row r="7" spans="1:5" s="201" customFormat="1" ht="15.75" customHeight="1" thickBot="1">
      <c r="A7" s="891" t="s">
        <v>40</v>
      </c>
      <c r="B7" s="892"/>
      <c r="C7" s="892"/>
      <c r="D7" s="892"/>
      <c r="E7" s="893"/>
    </row>
    <row r="8" spans="1:5" s="137" customFormat="1" ht="12" customHeight="1" thickBot="1">
      <c r="A8" s="66" t="s">
        <v>6</v>
      </c>
      <c r="B8" s="74" t="s">
        <v>405</v>
      </c>
      <c r="C8" s="104">
        <f>SUM(C9:C19)</f>
        <v>0</v>
      </c>
      <c r="D8" s="104">
        <f>SUM(D9:D19)</f>
        <v>0</v>
      </c>
      <c r="E8" s="106">
        <f>SUM(E9:E19)</f>
        <v>0</v>
      </c>
    </row>
    <row r="9" spans="1:5" s="137" customFormat="1" ht="12" customHeight="1">
      <c r="A9" s="194" t="s">
        <v>63</v>
      </c>
      <c r="B9" s="8" t="s">
        <v>183</v>
      </c>
      <c r="C9" s="256"/>
      <c r="D9" s="256"/>
      <c r="E9" s="303"/>
    </row>
    <row r="10" spans="1:5" s="137" customFormat="1" ht="12" customHeight="1">
      <c r="A10" s="195" t="s">
        <v>64</v>
      </c>
      <c r="B10" s="6" t="s">
        <v>184</v>
      </c>
      <c r="C10" s="101"/>
      <c r="D10" s="243"/>
      <c r="E10" s="248"/>
    </row>
    <row r="11" spans="1:5" s="137" customFormat="1" ht="12" customHeight="1">
      <c r="A11" s="195" t="s">
        <v>65</v>
      </c>
      <c r="B11" s="6" t="s">
        <v>185</v>
      </c>
      <c r="C11" s="101"/>
      <c r="D11" s="243"/>
      <c r="E11" s="248"/>
    </row>
    <row r="12" spans="1:5" s="137" customFormat="1" ht="12" customHeight="1">
      <c r="A12" s="195" t="s">
        <v>66</v>
      </c>
      <c r="B12" s="6" t="s">
        <v>186</v>
      </c>
      <c r="C12" s="101"/>
      <c r="D12" s="243"/>
      <c r="E12" s="248"/>
    </row>
    <row r="13" spans="1:5" s="137" customFormat="1" ht="12" customHeight="1">
      <c r="A13" s="195" t="s">
        <v>98</v>
      </c>
      <c r="B13" s="6" t="s">
        <v>187</v>
      </c>
      <c r="C13" s="101"/>
      <c r="D13" s="243"/>
      <c r="E13" s="248"/>
    </row>
    <row r="14" spans="1:5" s="137" customFormat="1" ht="12" customHeight="1">
      <c r="A14" s="195" t="s">
        <v>67</v>
      </c>
      <c r="B14" s="6" t="s">
        <v>303</v>
      </c>
      <c r="C14" s="101"/>
      <c r="D14" s="243"/>
      <c r="E14" s="248"/>
    </row>
    <row r="15" spans="1:5" s="137" customFormat="1" ht="12" customHeight="1">
      <c r="A15" s="195" t="s">
        <v>68</v>
      </c>
      <c r="B15" s="5" t="s">
        <v>304</v>
      </c>
      <c r="C15" s="101"/>
      <c r="D15" s="243"/>
      <c r="E15" s="248"/>
    </row>
    <row r="16" spans="1:5" s="137" customFormat="1" ht="12" customHeight="1">
      <c r="A16" s="195" t="s">
        <v>76</v>
      </c>
      <c r="B16" s="6" t="s">
        <v>190</v>
      </c>
      <c r="C16" s="254"/>
      <c r="D16" s="308"/>
      <c r="E16" s="252"/>
    </row>
    <row r="17" spans="1:5" s="202" customFormat="1" ht="12" customHeight="1">
      <c r="A17" s="195" t="s">
        <v>77</v>
      </c>
      <c r="B17" s="6" t="s">
        <v>191</v>
      </c>
      <c r="C17" s="101"/>
      <c r="D17" s="243"/>
      <c r="E17" s="248"/>
    </row>
    <row r="18" spans="1:5" s="202" customFormat="1" ht="12" customHeight="1">
      <c r="A18" s="195" t="s">
        <v>78</v>
      </c>
      <c r="B18" s="6" t="s">
        <v>336</v>
      </c>
      <c r="C18" s="103"/>
      <c r="D18" s="244"/>
      <c r="E18" s="249"/>
    </row>
    <row r="19" spans="1:5" s="202" customFormat="1" ht="12" customHeight="1" thickBot="1">
      <c r="A19" s="195" t="s">
        <v>79</v>
      </c>
      <c r="B19" s="5" t="s">
        <v>192</v>
      </c>
      <c r="C19" s="103"/>
      <c r="D19" s="244"/>
      <c r="E19" s="249"/>
    </row>
    <row r="20" spans="1:5" s="137" customFormat="1" ht="12" customHeight="1" thickBot="1">
      <c r="A20" s="66" t="s">
        <v>7</v>
      </c>
      <c r="B20" s="74" t="s">
        <v>305</v>
      </c>
      <c r="C20" s="104">
        <f>SUM(C21:C23)</f>
        <v>0</v>
      </c>
      <c r="D20" s="245">
        <f>SUM(D21:D23)</f>
        <v>0</v>
      </c>
      <c r="E20" s="132">
        <f>SUM(E21:E23)</f>
        <v>0</v>
      </c>
    </row>
    <row r="21" spans="1:5" s="202" customFormat="1" ht="12" customHeight="1">
      <c r="A21" s="195" t="s">
        <v>69</v>
      </c>
      <c r="B21" s="7" t="s">
        <v>165</v>
      </c>
      <c r="C21" s="101"/>
      <c r="D21" s="243"/>
      <c r="E21" s="248"/>
    </row>
    <row r="22" spans="1:5" s="202" customFormat="1" ht="12" customHeight="1">
      <c r="A22" s="195" t="s">
        <v>70</v>
      </c>
      <c r="B22" s="6" t="s">
        <v>306</v>
      </c>
      <c r="C22" s="101"/>
      <c r="D22" s="243"/>
      <c r="E22" s="248"/>
    </row>
    <row r="23" spans="1:5" s="202" customFormat="1" ht="12" customHeight="1">
      <c r="A23" s="195" t="s">
        <v>71</v>
      </c>
      <c r="B23" s="6" t="s">
        <v>307</v>
      </c>
      <c r="C23" s="101"/>
      <c r="D23" s="243"/>
      <c r="E23" s="248"/>
    </row>
    <row r="24" spans="1:5" s="202" customFormat="1" ht="12" customHeight="1" thickBot="1">
      <c r="A24" s="195" t="s">
        <v>72</v>
      </c>
      <c r="B24" s="6" t="s">
        <v>410</v>
      </c>
      <c r="C24" s="101"/>
      <c r="D24" s="243"/>
      <c r="E24" s="248"/>
    </row>
    <row r="25" spans="1:5" s="202" customFormat="1" ht="12" customHeight="1" thickBot="1">
      <c r="A25" s="69" t="s">
        <v>8</v>
      </c>
      <c r="B25" s="51" t="s">
        <v>114</v>
      </c>
      <c r="C25" s="305"/>
      <c r="D25" s="307"/>
      <c r="E25" s="131"/>
    </row>
    <row r="26" spans="1:5" s="202" customFormat="1" ht="12" customHeight="1" thickBot="1">
      <c r="A26" s="69" t="s">
        <v>9</v>
      </c>
      <c r="B26" s="51" t="s">
        <v>308</v>
      </c>
      <c r="C26" s="104">
        <f>+C27+C28</f>
        <v>0</v>
      </c>
      <c r="D26" s="245">
        <f>+D27+D28</f>
        <v>0</v>
      </c>
      <c r="E26" s="132">
        <f>+E27+E28</f>
        <v>0</v>
      </c>
    </row>
    <row r="27" spans="1:5" s="202" customFormat="1" ht="12" customHeight="1">
      <c r="A27" s="196" t="s">
        <v>174</v>
      </c>
      <c r="B27" s="197" t="s">
        <v>306</v>
      </c>
      <c r="C27" s="255"/>
      <c r="D27" s="53"/>
      <c r="E27" s="253"/>
    </row>
    <row r="28" spans="1:5" s="202" customFormat="1" ht="12" customHeight="1">
      <c r="A28" s="196" t="s">
        <v>175</v>
      </c>
      <c r="B28" s="198" t="s">
        <v>309</v>
      </c>
      <c r="C28" s="105"/>
      <c r="D28" s="246"/>
      <c r="E28" s="250"/>
    </row>
    <row r="29" spans="1:5" s="202" customFormat="1" ht="12" customHeight="1" thickBot="1">
      <c r="A29" s="195" t="s">
        <v>176</v>
      </c>
      <c r="B29" s="56" t="s">
        <v>411</v>
      </c>
      <c r="C29" s="43"/>
      <c r="D29" s="309"/>
      <c r="E29" s="304"/>
    </row>
    <row r="30" spans="1:5" s="202" customFormat="1" ht="12" customHeight="1" thickBot="1">
      <c r="A30" s="69" t="s">
        <v>10</v>
      </c>
      <c r="B30" s="51" t="s">
        <v>310</v>
      </c>
      <c r="C30" s="104">
        <f>+C31+C32+C33</f>
        <v>0</v>
      </c>
      <c r="D30" s="245">
        <f>+D31+D32+D33</f>
        <v>0</v>
      </c>
      <c r="E30" s="132">
        <f>+E31+E32+E33</f>
        <v>0</v>
      </c>
    </row>
    <row r="31" spans="1:5" s="202" customFormat="1" ht="12" customHeight="1">
      <c r="A31" s="196" t="s">
        <v>56</v>
      </c>
      <c r="B31" s="197" t="s">
        <v>197</v>
      </c>
      <c r="C31" s="255"/>
      <c r="D31" s="53"/>
      <c r="E31" s="253"/>
    </row>
    <row r="32" spans="1:5" s="202" customFormat="1" ht="12" customHeight="1">
      <c r="A32" s="196" t="s">
        <v>57</v>
      </c>
      <c r="B32" s="198" t="s">
        <v>198</v>
      </c>
      <c r="C32" s="105"/>
      <c r="D32" s="246"/>
      <c r="E32" s="250"/>
    </row>
    <row r="33" spans="1:5" s="202" customFormat="1" ht="12" customHeight="1" thickBot="1">
      <c r="A33" s="195" t="s">
        <v>58</v>
      </c>
      <c r="B33" s="56" t="s">
        <v>199</v>
      </c>
      <c r="C33" s="43"/>
      <c r="D33" s="309"/>
      <c r="E33" s="304"/>
    </row>
    <row r="34" spans="1:5" s="137" customFormat="1" ht="12" customHeight="1" thickBot="1">
      <c r="A34" s="69" t="s">
        <v>11</v>
      </c>
      <c r="B34" s="51" t="s">
        <v>282</v>
      </c>
      <c r="C34" s="305"/>
      <c r="D34" s="307"/>
      <c r="E34" s="131"/>
    </row>
    <row r="35" spans="1:5" s="137" customFormat="1" ht="12" customHeight="1" thickBot="1">
      <c r="A35" s="69" t="s">
        <v>12</v>
      </c>
      <c r="B35" s="51" t="s">
        <v>311</v>
      </c>
      <c r="C35" s="305"/>
      <c r="D35" s="307"/>
      <c r="E35" s="131"/>
    </row>
    <row r="36" spans="1:5" s="137" customFormat="1" ht="12" customHeight="1" thickBot="1">
      <c r="A36" s="66" t="s">
        <v>13</v>
      </c>
      <c r="B36" s="51" t="s">
        <v>412</v>
      </c>
      <c r="C36" s="104">
        <f>+C8+C20+C25+C26+C30+C34+C35</f>
        <v>0</v>
      </c>
      <c r="D36" s="245">
        <f>+D8+D20+D25+D26+D30+D34+D35</f>
        <v>0</v>
      </c>
      <c r="E36" s="132">
        <f>+E8+E20+E25+E26+E30+E34+E35</f>
        <v>0</v>
      </c>
    </row>
    <row r="37" spans="1:5" s="137" customFormat="1" ht="12" customHeight="1" thickBot="1">
      <c r="A37" s="75" t="s">
        <v>14</v>
      </c>
      <c r="B37" s="51" t="s">
        <v>313</v>
      </c>
      <c r="C37" s="104">
        <f>+C38+C39+C40</f>
        <v>0</v>
      </c>
      <c r="D37" s="245">
        <f>+D38+D39+D40</f>
        <v>0</v>
      </c>
      <c r="E37" s="132">
        <f>+E38+E39+E40</f>
        <v>0</v>
      </c>
    </row>
    <row r="38" spans="1:5" s="137" customFormat="1" ht="12" customHeight="1">
      <c r="A38" s="196" t="s">
        <v>314</v>
      </c>
      <c r="B38" s="197" t="s">
        <v>147</v>
      </c>
      <c r="C38" s="255"/>
      <c r="D38" s="53"/>
      <c r="E38" s="253"/>
    </row>
    <row r="39" spans="1:5" s="137" customFormat="1" ht="12" customHeight="1">
      <c r="A39" s="196" t="s">
        <v>315</v>
      </c>
      <c r="B39" s="198" t="s">
        <v>0</v>
      </c>
      <c r="C39" s="105"/>
      <c r="D39" s="246"/>
      <c r="E39" s="250"/>
    </row>
    <row r="40" spans="1:5" s="202" customFormat="1" ht="12" customHeight="1" thickBot="1">
      <c r="A40" s="195" t="s">
        <v>316</v>
      </c>
      <c r="B40" s="56" t="s">
        <v>317</v>
      </c>
      <c r="C40" s="43"/>
      <c r="D40" s="309"/>
      <c r="E40" s="304"/>
    </row>
    <row r="41" spans="1:5" s="202" customFormat="1" ht="15" customHeight="1" thickBot="1">
      <c r="A41" s="75" t="s">
        <v>15</v>
      </c>
      <c r="B41" s="76" t="s">
        <v>318</v>
      </c>
      <c r="C41" s="306">
        <f>+C36+C37</f>
        <v>0</v>
      </c>
      <c r="D41" s="302">
        <f>+D36+D37</f>
        <v>0</v>
      </c>
      <c r="E41" s="135">
        <f>+E36+E37</f>
        <v>0</v>
      </c>
    </row>
    <row r="42" spans="1:3" s="202" customFormat="1" ht="15" customHeight="1">
      <c r="A42" s="77"/>
      <c r="B42" s="78"/>
      <c r="C42" s="133"/>
    </row>
    <row r="43" spans="1:3" ht="13.5" thickBot="1">
      <c r="A43" s="79"/>
      <c r="B43" s="80"/>
      <c r="C43" s="134"/>
    </row>
    <row r="44" spans="1:5" s="201" customFormat="1" ht="16.5" customHeight="1" thickBot="1">
      <c r="A44" s="891" t="s">
        <v>41</v>
      </c>
      <c r="B44" s="892"/>
      <c r="C44" s="892"/>
      <c r="D44" s="892"/>
      <c r="E44" s="893"/>
    </row>
    <row r="45" spans="1:5" s="203" customFormat="1" ht="12" customHeight="1" thickBot="1">
      <c r="A45" s="69" t="s">
        <v>6</v>
      </c>
      <c r="B45" s="51" t="s">
        <v>319</v>
      </c>
      <c r="C45" s="104">
        <f>SUM(C46:C50)</f>
        <v>0</v>
      </c>
      <c r="D45" s="245">
        <f>SUM(D46:D50)</f>
        <v>0</v>
      </c>
      <c r="E45" s="132">
        <f>SUM(E46:E50)</f>
        <v>0</v>
      </c>
    </row>
    <row r="46" spans="1:5" ht="12" customHeight="1">
      <c r="A46" s="195" t="s">
        <v>63</v>
      </c>
      <c r="B46" s="7" t="s">
        <v>35</v>
      </c>
      <c r="C46" s="255"/>
      <c r="D46" s="53"/>
      <c r="E46" s="253"/>
    </row>
    <row r="47" spans="1:5" ht="12" customHeight="1">
      <c r="A47" s="195" t="s">
        <v>64</v>
      </c>
      <c r="B47" s="6" t="s">
        <v>123</v>
      </c>
      <c r="C47" s="42"/>
      <c r="D47" s="54"/>
      <c r="E47" s="251"/>
    </row>
    <row r="48" spans="1:5" ht="12" customHeight="1">
      <c r="A48" s="195" t="s">
        <v>65</v>
      </c>
      <c r="B48" s="6" t="s">
        <v>91</v>
      </c>
      <c r="C48" s="42"/>
      <c r="D48" s="54"/>
      <c r="E48" s="251"/>
    </row>
    <row r="49" spans="1:5" ht="12" customHeight="1">
      <c r="A49" s="195" t="s">
        <v>66</v>
      </c>
      <c r="B49" s="6" t="s">
        <v>124</v>
      </c>
      <c r="C49" s="42"/>
      <c r="D49" s="54"/>
      <c r="E49" s="251"/>
    </row>
    <row r="50" spans="1:5" ht="12" customHeight="1" thickBot="1">
      <c r="A50" s="195" t="s">
        <v>98</v>
      </c>
      <c r="B50" s="6" t="s">
        <v>125</v>
      </c>
      <c r="C50" s="42"/>
      <c r="D50" s="54"/>
      <c r="E50" s="251"/>
    </row>
    <row r="51" spans="1:5" ht="12" customHeight="1" thickBot="1">
      <c r="A51" s="69" t="s">
        <v>7</v>
      </c>
      <c r="B51" s="51" t="s">
        <v>320</v>
      </c>
      <c r="C51" s="104">
        <f>SUM(C52:C54)</f>
        <v>0</v>
      </c>
      <c r="D51" s="245">
        <f>SUM(D52:D54)</f>
        <v>0</v>
      </c>
      <c r="E51" s="132">
        <f>SUM(E52:E54)</f>
        <v>0</v>
      </c>
    </row>
    <row r="52" spans="1:5" s="203" customFormat="1" ht="12" customHeight="1">
      <c r="A52" s="195" t="s">
        <v>69</v>
      </c>
      <c r="B52" s="7" t="s">
        <v>140</v>
      </c>
      <c r="C52" s="255"/>
      <c r="D52" s="53"/>
      <c r="E52" s="253"/>
    </row>
    <row r="53" spans="1:5" ht="12" customHeight="1">
      <c r="A53" s="195" t="s">
        <v>70</v>
      </c>
      <c r="B53" s="6" t="s">
        <v>127</v>
      </c>
      <c r="C53" s="42"/>
      <c r="D53" s="54"/>
      <c r="E53" s="251"/>
    </row>
    <row r="54" spans="1:5" ht="12" customHeight="1">
      <c r="A54" s="195" t="s">
        <v>71</v>
      </c>
      <c r="B54" s="6" t="s">
        <v>42</v>
      </c>
      <c r="C54" s="42"/>
      <c r="D54" s="54"/>
      <c r="E54" s="251"/>
    </row>
    <row r="55" spans="1:5" ht="12" customHeight="1" thickBot="1">
      <c r="A55" s="195" t="s">
        <v>72</v>
      </c>
      <c r="B55" s="6" t="s">
        <v>409</v>
      </c>
      <c r="C55" s="42"/>
      <c r="D55" s="54"/>
      <c r="E55" s="251"/>
    </row>
    <row r="56" spans="1:5" ht="15" customHeight="1" thickBot="1">
      <c r="A56" s="69" t="s">
        <v>8</v>
      </c>
      <c r="B56" s="51" t="s">
        <v>2</v>
      </c>
      <c r="C56" s="305"/>
      <c r="D56" s="307"/>
      <c r="E56" s="131"/>
    </row>
    <row r="57" spans="1:5" ht="13.5" thickBot="1">
      <c r="A57" s="69" t="s">
        <v>9</v>
      </c>
      <c r="B57" s="81" t="s">
        <v>413</v>
      </c>
      <c r="C57" s="306">
        <f>+C45+C51+C56</f>
        <v>0</v>
      </c>
      <c r="D57" s="302">
        <f>+D45+D51+D56</f>
        <v>0</v>
      </c>
      <c r="E57" s="135">
        <f>+E45+E51+E56</f>
        <v>0</v>
      </c>
    </row>
    <row r="58" spans="3:4" ht="15" customHeight="1" thickBot="1">
      <c r="C58" s="546">
        <f>C41-C57</f>
        <v>0</v>
      </c>
      <c r="D58" s="546">
        <f>D41-D57</f>
        <v>0</v>
      </c>
    </row>
    <row r="59" spans="1:5" ht="14.25" customHeight="1" thickBot="1">
      <c r="A59" s="311" t="s">
        <v>488</v>
      </c>
      <c r="B59" s="312"/>
      <c r="C59" s="300"/>
      <c r="D59" s="300"/>
      <c r="E59" s="299"/>
    </row>
    <row r="60" spans="1:5" ht="13.5" thickBot="1">
      <c r="A60" s="313" t="s">
        <v>489</v>
      </c>
      <c r="B60" s="314"/>
      <c r="C60" s="300"/>
      <c r="D60" s="300"/>
      <c r="E60" s="299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E60"/>
  <sheetViews>
    <sheetView view="pageBreakPreview" zoomScale="60" zoomScaleNormal="120" workbookViewId="0" topLeftCell="A1">
      <selection activeCell="B2" sqref="B2:D2"/>
    </sheetView>
  </sheetViews>
  <sheetFormatPr defaultColWidth="9.00390625" defaultRowHeight="12.75"/>
  <cols>
    <col min="1" max="1" width="13.875" style="82" customWidth="1"/>
    <col min="2" max="2" width="54.50390625" style="83" customWidth="1"/>
    <col min="3" max="5" width="15.875" style="83" customWidth="1"/>
    <col min="6" max="16384" width="9.375" style="83" customWidth="1"/>
  </cols>
  <sheetData>
    <row r="1" spans="1:5" s="73" customFormat="1" ht="16.5" thickBot="1">
      <c r="A1" s="358"/>
      <c r="B1" s="900" t="str">
        <f>CONCATENATE("21. melléklet ",Z_ALAPADATOK!A7," ",Z_ALAPADATOK!B7," ",Z_ALAPADATOK!C7," ",Z_ALAPADATOK!D7," ",Z_ALAPADATOK!E7," ",Z_ALAPADATOK!F7," ",Z_ALAPADATOK!G7," ",Z_ALAPADATOK!H7)</f>
        <v>21. melléklet a 3 / 2022. ( V. 26. ) önkormányzati rendelethez</v>
      </c>
      <c r="C1" s="901"/>
      <c r="D1" s="901"/>
      <c r="E1" s="901"/>
    </row>
    <row r="2" spans="1:5" s="199" customFormat="1" ht="25.5" customHeight="1" thickBot="1">
      <c r="A2" s="359" t="s">
        <v>455</v>
      </c>
      <c r="B2" s="897" t="str">
        <f>CONCATENATE('20'!B2:D2)</f>
        <v>Balatonvilágosi Szivárvány óvoda</v>
      </c>
      <c r="C2" s="898"/>
      <c r="D2" s="899"/>
      <c r="E2" s="360" t="s">
        <v>44</v>
      </c>
    </row>
    <row r="3" spans="1:5" s="199" customFormat="1" ht="24.75" thickBot="1">
      <c r="A3" s="359" t="s">
        <v>136</v>
      </c>
      <c r="B3" s="897" t="s">
        <v>414</v>
      </c>
      <c r="C3" s="898"/>
      <c r="D3" s="899"/>
      <c r="E3" s="360" t="s">
        <v>331</v>
      </c>
    </row>
    <row r="4" spans="1:5" s="200" customFormat="1" ht="15.75" customHeight="1" thickBot="1">
      <c r="A4" s="361"/>
      <c r="B4" s="361"/>
      <c r="C4" s="362"/>
      <c r="D4" s="363"/>
      <c r="E4" s="362" t="str">
        <f>'20'!E4</f>
        <v> Forintban!</v>
      </c>
    </row>
    <row r="5" spans="1:5" ht="24.75" thickBot="1">
      <c r="A5" s="364" t="s">
        <v>137</v>
      </c>
      <c r="B5" s="365" t="s">
        <v>487</v>
      </c>
      <c r="C5" s="365" t="s">
        <v>453</v>
      </c>
      <c r="D5" s="366" t="s">
        <v>454</v>
      </c>
      <c r="E5" s="347" t="str">
        <f>CONCATENATE('20'!E5)</f>
        <v>Teljesítés
2021. XII. 31.</v>
      </c>
    </row>
    <row r="6" spans="1:5" s="201" customFormat="1" ht="12.75" customHeight="1" thickBot="1">
      <c r="A6" s="397" t="s">
        <v>384</v>
      </c>
      <c r="B6" s="398" t="s">
        <v>385</v>
      </c>
      <c r="C6" s="398" t="s">
        <v>386</v>
      </c>
      <c r="D6" s="399" t="s">
        <v>388</v>
      </c>
      <c r="E6" s="400" t="s">
        <v>387</v>
      </c>
    </row>
    <row r="7" spans="1:5" s="201" customFormat="1" ht="15.75" customHeight="1" thickBot="1">
      <c r="A7" s="891" t="s">
        <v>40</v>
      </c>
      <c r="B7" s="892"/>
      <c r="C7" s="892"/>
      <c r="D7" s="892"/>
      <c r="E7" s="893"/>
    </row>
    <row r="8" spans="1:5" s="137" customFormat="1" ht="12" customHeight="1" thickBot="1">
      <c r="A8" s="66" t="s">
        <v>6</v>
      </c>
      <c r="B8" s="74" t="s">
        <v>405</v>
      </c>
      <c r="C8" s="104">
        <f>SUM(C9:C19)</f>
        <v>0</v>
      </c>
      <c r="D8" s="104">
        <f>SUM(D9:D19)</f>
        <v>0</v>
      </c>
      <c r="E8" s="106">
        <f>SUM(E9:E19)</f>
        <v>0</v>
      </c>
    </row>
    <row r="9" spans="1:5" s="137" customFormat="1" ht="12" customHeight="1">
      <c r="A9" s="194" t="s">
        <v>63</v>
      </c>
      <c r="B9" s="8" t="s">
        <v>183</v>
      </c>
      <c r="C9" s="256"/>
      <c r="D9" s="256"/>
      <c r="E9" s="303"/>
    </row>
    <row r="10" spans="1:5" s="137" customFormat="1" ht="12" customHeight="1">
      <c r="A10" s="195" t="s">
        <v>64</v>
      </c>
      <c r="B10" s="6" t="s">
        <v>184</v>
      </c>
      <c r="C10" s="101"/>
      <c r="D10" s="243"/>
      <c r="E10" s="248"/>
    </row>
    <row r="11" spans="1:5" s="137" customFormat="1" ht="12" customHeight="1">
      <c r="A11" s="195" t="s">
        <v>65</v>
      </c>
      <c r="B11" s="6" t="s">
        <v>185</v>
      </c>
      <c r="C11" s="101"/>
      <c r="D11" s="243"/>
      <c r="E11" s="248"/>
    </row>
    <row r="12" spans="1:5" s="137" customFormat="1" ht="12" customHeight="1">
      <c r="A12" s="195" t="s">
        <v>66</v>
      </c>
      <c r="B12" s="6" t="s">
        <v>186</v>
      </c>
      <c r="C12" s="101"/>
      <c r="D12" s="243"/>
      <c r="E12" s="248"/>
    </row>
    <row r="13" spans="1:5" s="137" customFormat="1" ht="12" customHeight="1">
      <c r="A13" s="195" t="s">
        <v>98</v>
      </c>
      <c r="B13" s="6" t="s">
        <v>187</v>
      </c>
      <c r="C13" s="101"/>
      <c r="D13" s="243"/>
      <c r="E13" s="248"/>
    </row>
    <row r="14" spans="1:5" s="137" customFormat="1" ht="12" customHeight="1">
      <c r="A14" s="195" t="s">
        <v>67</v>
      </c>
      <c r="B14" s="6" t="s">
        <v>303</v>
      </c>
      <c r="C14" s="101"/>
      <c r="D14" s="243"/>
      <c r="E14" s="248"/>
    </row>
    <row r="15" spans="1:5" s="137" customFormat="1" ht="12" customHeight="1">
      <c r="A15" s="195" t="s">
        <v>68</v>
      </c>
      <c r="B15" s="5" t="s">
        <v>304</v>
      </c>
      <c r="C15" s="101"/>
      <c r="D15" s="243"/>
      <c r="E15" s="248"/>
    </row>
    <row r="16" spans="1:5" s="137" customFormat="1" ht="12" customHeight="1">
      <c r="A16" s="195" t="s">
        <v>76</v>
      </c>
      <c r="B16" s="6" t="s">
        <v>190</v>
      </c>
      <c r="C16" s="254"/>
      <c r="D16" s="308"/>
      <c r="E16" s="252"/>
    </row>
    <row r="17" spans="1:5" s="202" customFormat="1" ht="12" customHeight="1">
      <c r="A17" s="195" t="s">
        <v>77</v>
      </c>
      <c r="B17" s="6" t="s">
        <v>191</v>
      </c>
      <c r="C17" s="101"/>
      <c r="D17" s="243"/>
      <c r="E17" s="248"/>
    </row>
    <row r="18" spans="1:5" s="202" customFormat="1" ht="12" customHeight="1">
      <c r="A18" s="195" t="s">
        <v>78</v>
      </c>
      <c r="B18" s="6" t="s">
        <v>336</v>
      </c>
      <c r="C18" s="103"/>
      <c r="D18" s="244"/>
      <c r="E18" s="249"/>
    </row>
    <row r="19" spans="1:5" s="202" customFormat="1" ht="12" customHeight="1" thickBot="1">
      <c r="A19" s="195" t="s">
        <v>79</v>
      </c>
      <c r="B19" s="5" t="s">
        <v>192</v>
      </c>
      <c r="C19" s="103"/>
      <c r="D19" s="244"/>
      <c r="E19" s="249"/>
    </row>
    <row r="20" spans="1:5" s="137" customFormat="1" ht="12" customHeight="1" thickBot="1">
      <c r="A20" s="66" t="s">
        <v>7</v>
      </c>
      <c r="B20" s="74" t="s">
        <v>305</v>
      </c>
      <c r="C20" s="104">
        <f>SUM(C21:C23)</f>
        <v>0</v>
      </c>
      <c r="D20" s="245">
        <f>SUM(D21:D23)</f>
        <v>0</v>
      </c>
      <c r="E20" s="132">
        <f>SUM(E21:E23)</f>
        <v>0</v>
      </c>
    </row>
    <row r="21" spans="1:5" s="202" customFormat="1" ht="12" customHeight="1">
      <c r="A21" s="195" t="s">
        <v>69</v>
      </c>
      <c r="B21" s="7" t="s">
        <v>165</v>
      </c>
      <c r="C21" s="101"/>
      <c r="D21" s="243"/>
      <c r="E21" s="248"/>
    </row>
    <row r="22" spans="1:5" s="202" customFormat="1" ht="12" customHeight="1">
      <c r="A22" s="195" t="s">
        <v>70</v>
      </c>
      <c r="B22" s="6" t="s">
        <v>306</v>
      </c>
      <c r="C22" s="101"/>
      <c r="D22" s="243"/>
      <c r="E22" s="248"/>
    </row>
    <row r="23" spans="1:5" s="202" customFormat="1" ht="12" customHeight="1">
      <c r="A23" s="195" t="s">
        <v>71</v>
      </c>
      <c r="B23" s="6" t="s">
        <v>307</v>
      </c>
      <c r="C23" s="101"/>
      <c r="D23" s="243"/>
      <c r="E23" s="248"/>
    </row>
    <row r="24" spans="1:5" s="202" customFormat="1" ht="12" customHeight="1" thickBot="1">
      <c r="A24" s="195" t="s">
        <v>72</v>
      </c>
      <c r="B24" s="6" t="s">
        <v>410</v>
      </c>
      <c r="C24" s="101"/>
      <c r="D24" s="243"/>
      <c r="E24" s="248"/>
    </row>
    <row r="25" spans="1:5" s="202" customFormat="1" ht="12" customHeight="1" thickBot="1">
      <c r="A25" s="69" t="s">
        <v>8</v>
      </c>
      <c r="B25" s="51" t="s">
        <v>114</v>
      </c>
      <c r="C25" s="305"/>
      <c r="D25" s="307"/>
      <c r="E25" s="131"/>
    </row>
    <row r="26" spans="1:5" s="202" customFormat="1" ht="12" customHeight="1" thickBot="1">
      <c r="A26" s="69" t="s">
        <v>9</v>
      </c>
      <c r="B26" s="51" t="s">
        <v>308</v>
      </c>
      <c r="C26" s="104">
        <f>+C27+C28</f>
        <v>0</v>
      </c>
      <c r="D26" s="245">
        <f>+D27+D28</f>
        <v>0</v>
      </c>
      <c r="E26" s="132">
        <f>+E27+E28</f>
        <v>0</v>
      </c>
    </row>
    <row r="27" spans="1:5" s="202" customFormat="1" ht="12" customHeight="1">
      <c r="A27" s="196" t="s">
        <v>174</v>
      </c>
      <c r="B27" s="197" t="s">
        <v>306</v>
      </c>
      <c r="C27" s="255"/>
      <c r="D27" s="53"/>
      <c r="E27" s="253"/>
    </row>
    <row r="28" spans="1:5" s="202" customFormat="1" ht="12" customHeight="1">
      <c r="A28" s="196" t="s">
        <v>175</v>
      </c>
      <c r="B28" s="198" t="s">
        <v>309</v>
      </c>
      <c r="C28" s="105"/>
      <c r="D28" s="246"/>
      <c r="E28" s="250"/>
    </row>
    <row r="29" spans="1:5" s="202" customFormat="1" ht="12" customHeight="1" thickBot="1">
      <c r="A29" s="195" t="s">
        <v>176</v>
      </c>
      <c r="B29" s="56" t="s">
        <v>411</v>
      </c>
      <c r="C29" s="43"/>
      <c r="D29" s="309"/>
      <c r="E29" s="304"/>
    </row>
    <row r="30" spans="1:5" s="202" customFormat="1" ht="12" customHeight="1" thickBot="1">
      <c r="A30" s="69" t="s">
        <v>10</v>
      </c>
      <c r="B30" s="51" t="s">
        <v>310</v>
      </c>
      <c r="C30" s="104">
        <f>+C31+C32+C33</f>
        <v>0</v>
      </c>
      <c r="D30" s="245">
        <f>+D31+D32+D33</f>
        <v>0</v>
      </c>
      <c r="E30" s="132">
        <f>+E31+E32+E33</f>
        <v>0</v>
      </c>
    </row>
    <row r="31" spans="1:5" s="202" customFormat="1" ht="12" customHeight="1">
      <c r="A31" s="196" t="s">
        <v>56</v>
      </c>
      <c r="B31" s="197" t="s">
        <v>197</v>
      </c>
      <c r="C31" s="255"/>
      <c r="D31" s="53"/>
      <c r="E31" s="253"/>
    </row>
    <row r="32" spans="1:5" s="202" customFormat="1" ht="12" customHeight="1">
      <c r="A32" s="196" t="s">
        <v>57</v>
      </c>
      <c r="B32" s="198" t="s">
        <v>198</v>
      </c>
      <c r="C32" s="105"/>
      <c r="D32" s="246"/>
      <c r="E32" s="250"/>
    </row>
    <row r="33" spans="1:5" s="202" customFormat="1" ht="12" customHeight="1" thickBot="1">
      <c r="A33" s="195" t="s">
        <v>58</v>
      </c>
      <c r="B33" s="56" t="s">
        <v>199</v>
      </c>
      <c r="C33" s="43"/>
      <c r="D33" s="309"/>
      <c r="E33" s="304"/>
    </row>
    <row r="34" spans="1:5" s="137" customFormat="1" ht="12" customHeight="1" thickBot="1">
      <c r="A34" s="69" t="s">
        <v>11</v>
      </c>
      <c r="B34" s="51" t="s">
        <v>282</v>
      </c>
      <c r="C34" s="305"/>
      <c r="D34" s="307"/>
      <c r="E34" s="131"/>
    </row>
    <row r="35" spans="1:5" s="137" customFormat="1" ht="12" customHeight="1" thickBot="1">
      <c r="A35" s="69" t="s">
        <v>12</v>
      </c>
      <c r="B35" s="51" t="s">
        <v>311</v>
      </c>
      <c r="C35" s="305"/>
      <c r="D35" s="307"/>
      <c r="E35" s="131"/>
    </row>
    <row r="36" spans="1:5" s="137" customFormat="1" ht="12" customHeight="1" thickBot="1">
      <c r="A36" s="66" t="s">
        <v>13</v>
      </c>
      <c r="B36" s="51" t="s">
        <v>412</v>
      </c>
      <c r="C36" s="104">
        <f>+C8+C20+C25+C26+C30+C34+C35</f>
        <v>0</v>
      </c>
      <c r="D36" s="245">
        <f>+D8+D20+D25+D26+D30+D34+D35</f>
        <v>0</v>
      </c>
      <c r="E36" s="132">
        <f>+E8+E20+E25+E26+E30+E34+E35</f>
        <v>0</v>
      </c>
    </row>
    <row r="37" spans="1:5" s="137" customFormat="1" ht="12" customHeight="1" thickBot="1">
      <c r="A37" s="75" t="s">
        <v>14</v>
      </c>
      <c r="B37" s="51" t="s">
        <v>313</v>
      </c>
      <c r="C37" s="104">
        <f>+C38+C39+C40</f>
        <v>0</v>
      </c>
      <c r="D37" s="245">
        <f>+D38+D39+D40</f>
        <v>0</v>
      </c>
      <c r="E37" s="132">
        <f>+E38+E39+E40</f>
        <v>0</v>
      </c>
    </row>
    <row r="38" spans="1:5" s="137" customFormat="1" ht="12" customHeight="1">
      <c r="A38" s="196" t="s">
        <v>314</v>
      </c>
      <c r="B38" s="197" t="s">
        <v>147</v>
      </c>
      <c r="C38" s="255"/>
      <c r="D38" s="53"/>
      <c r="E38" s="253"/>
    </row>
    <row r="39" spans="1:5" s="137" customFormat="1" ht="12" customHeight="1">
      <c r="A39" s="196" t="s">
        <v>315</v>
      </c>
      <c r="B39" s="198" t="s">
        <v>0</v>
      </c>
      <c r="C39" s="105"/>
      <c r="D39" s="246"/>
      <c r="E39" s="250"/>
    </row>
    <row r="40" spans="1:5" s="202" customFormat="1" ht="12" customHeight="1" thickBot="1">
      <c r="A40" s="195" t="s">
        <v>316</v>
      </c>
      <c r="B40" s="56" t="s">
        <v>317</v>
      </c>
      <c r="C40" s="43"/>
      <c r="D40" s="309"/>
      <c r="E40" s="304"/>
    </row>
    <row r="41" spans="1:5" s="202" customFormat="1" ht="15" customHeight="1" thickBot="1">
      <c r="A41" s="75" t="s">
        <v>15</v>
      </c>
      <c r="B41" s="76" t="s">
        <v>318</v>
      </c>
      <c r="C41" s="306">
        <f>+C36+C37</f>
        <v>0</v>
      </c>
      <c r="D41" s="302">
        <f>+D36+D37</f>
        <v>0</v>
      </c>
      <c r="E41" s="135">
        <f>+E36+E37</f>
        <v>0</v>
      </c>
    </row>
    <row r="42" spans="1:3" s="202" customFormat="1" ht="15" customHeight="1">
      <c r="A42" s="77"/>
      <c r="B42" s="78"/>
      <c r="C42" s="133"/>
    </row>
    <row r="43" spans="1:3" ht="13.5" thickBot="1">
      <c r="A43" s="79"/>
      <c r="B43" s="80"/>
      <c r="C43" s="134"/>
    </row>
    <row r="44" spans="1:5" s="201" customFormat="1" ht="16.5" customHeight="1" thickBot="1">
      <c r="A44" s="891" t="s">
        <v>41</v>
      </c>
      <c r="B44" s="892"/>
      <c r="C44" s="892"/>
      <c r="D44" s="892"/>
      <c r="E44" s="893"/>
    </row>
    <row r="45" spans="1:5" s="203" customFormat="1" ht="12" customHeight="1" thickBot="1">
      <c r="A45" s="69" t="s">
        <v>6</v>
      </c>
      <c r="B45" s="51" t="s">
        <v>319</v>
      </c>
      <c r="C45" s="104">
        <f>SUM(C46:C50)</f>
        <v>0</v>
      </c>
      <c r="D45" s="245">
        <f>SUM(D46:D50)</f>
        <v>0</v>
      </c>
      <c r="E45" s="132">
        <f>SUM(E46:E50)</f>
        <v>0</v>
      </c>
    </row>
    <row r="46" spans="1:5" ht="12" customHeight="1">
      <c r="A46" s="195" t="s">
        <v>63</v>
      </c>
      <c r="B46" s="7" t="s">
        <v>35</v>
      </c>
      <c r="C46" s="255"/>
      <c r="D46" s="53"/>
      <c r="E46" s="253"/>
    </row>
    <row r="47" spans="1:5" ht="12" customHeight="1">
      <c r="A47" s="195" t="s">
        <v>64</v>
      </c>
      <c r="B47" s="6" t="s">
        <v>123</v>
      </c>
      <c r="C47" s="42"/>
      <c r="D47" s="54"/>
      <c r="E47" s="251"/>
    </row>
    <row r="48" spans="1:5" ht="12" customHeight="1">
      <c r="A48" s="195" t="s">
        <v>65</v>
      </c>
      <c r="B48" s="6" t="s">
        <v>91</v>
      </c>
      <c r="C48" s="42"/>
      <c r="D48" s="54"/>
      <c r="E48" s="251"/>
    </row>
    <row r="49" spans="1:5" ht="12" customHeight="1">
      <c r="A49" s="195" t="s">
        <v>66</v>
      </c>
      <c r="B49" s="6" t="s">
        <v>124</v>
      </c>
      <c r="C49" s="42"/>
      <c r="D49" s="54"/>
      <c r="E49" s="251"/>
    </row>
    <row r="50" spans="1:5" ht="12" customHeight="1" thickBot="1">
      <c r="A50" s="195" t="s">
        <v>98</v>
      </c>
      <c r="B50" s="6" t="s">
        <v>125</v>
      </c>
      <c r="C50" s="42"/>
      <c r="D50" s="54"/>
      <c r="E50" s="251"/>
    </row>
    <row r="51" spans="1:5" ht="12" customHeight="1" thickBot="1">
      <c r="A51" s="69" t="s">
        <v>7</v>
      </c>
      <c r="B51" s="51" t="s">
        <v>320</v>
      </c>
      <c r="C51" s="104">
        <f>SUM(C52:C54)</f>
        <v>0</v>
      </c>
      <c r="D51" s="245">
        <f>SUM(D52:D54)</f>
        <v>0</v>
      </c>
      <c r="E51" s="132">
        <f>SUM(E52:E54)</f>
        <v>0</v>
      </c>
    </row>
    <row r="52" spans="1:5" s="203" customFormat="1" ht="12" customHeight="1">
      <c r="A52" s="195" t="s">
        <v>69</v>
      </c>
      <c r="B52" s="7" t="s">
        <v>140</v>
      </c>
      <c r="C52" s="255"/>
      <c r="D52" s="53"/>
      <c r="E52" s="253"/>
    </row>
    <row r="53" spans="1:5" ht="12" customHeight="1">
      <c r="A53" s="195" t="s">
        <v>70</v>
      </c>
      <c r="B53" s="6" t="s">
        <v>127</v>
      </c>
      <c r="C53" s="42"/>
      <c r="D53" s="54"/>
      <c r="E53" s="251"/>
    </row>
    <row r="54" spans="1:5" ht="12" customHeight="1">
      <c r="A54" s="195" t="s">
        <v>71</v>
      </c>
      <c r="B54" s="6" t="s">
        <v>42</v>
      </c>
      <c r="C54" s="42"/>
      <c r="D54" s="54"/>
      <c r="E54" s="251"/>
    </row>
    <row r="55" spans="1:5" ht="12" customHeight="1" thickBot="1">
      <c r="A55" s="195" t="s">
        <v>72</v>
      </c>
      <c r="B55" s="6" t="s">
        <v>409</v>
      </c>
      <c r="C55" s="42"/>
      <c r="D55" s="54"/>
      <c r="E55" s="251"/>
    </row>
    <row r="56" spans="1:5" ht="15" customHeight="1" thickBot="1">
      <c r="A56" s="69" t="s">
        <v>8</v>
      </c>
      <c r="B56" s="51" t="s">
        <v>2</v>
      </c>
      <c r="C56" s="305"/>
      <c r="D56" s="307"/>
      <c r="E56" s="131"/>
    </row>
    <row r="57" spans="1:5" ht="13.5" thickBot="1">
      <c r="A57" s="69" t="s">
        <v>9</v>
      </c>
      <c r="B57" s="81" t="s">
        <v>413</v>
      </c>
      <c r="C57" s="306">
        <f>+C45+C51+C56</f>
        <v>0</v>
      </c>
      <c r="D57" s="302">
        <f>+D45+D51+D56</f>
        <v>0</v>
      </c>
      <c r="E57" s="135">
        <f>+E45+E51+E56</f>
        <v>0</v>
      </c>
    </row>
    <row r="58" spans="3:4" ht="15" customHeight="1" thickBot="1">
      <c r="C58" s="546">
        <f>C41-C57</f>
        <v>0</v>
      </c>
      <c r="D58" s="546">
        <f>D41-D57</f>
        <v>0</v>
      </c>
    </row>
    <row r="59" spans="1:5" ht="14.25" customHeight="1" thickBot="1">
      <c r="A59" s="311" t="s">
        <v>488</v>
      </c>
      <c r="B59" s="312"/>
      <c r="C59" s="300"/>
      <c r="D59" s="300"/>
      <c r="E59" s="299"/>
    </row>
    <row r="60" spans="1:5" ht="13.5" thickBot="1">
      <c r="A60" s="313" t="s">
        <v>489</v>
      </c>
      <c r="B60" s="314"/>
      <c r="C60" s="300"/>
      <c r="D60" s="300"/>
      <c r="E60" s="299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12"/>
  <sheetViews>
    <sheetView view="pageBreakPreview" zoomScale="60" zoomScaleNormal="120" workbookViewId="0" topLeftCell="A1">
      <selection activeCell="E12" sqref="E12"/>
    </sheetView>
  </sheetViews>
  <sheetFormatPr defaultColWidth="9.00390625" defaultRowHeight="12.75"/>
  <cols>
    <col min="1" max="1" width="7.00390625" style="568" customWidth="1"/>
    <col min="2" max="2" width="32.00390625" style="83" customWidth="1"/>
    <col min="3" max="3" width="12.50390625" style="83" customWidth="1"/>
    <col min="4" max="6" width="11.875" style="83" customWidth="1"/>
    <col min="7" max="7" width="12.875" style="83" customWidth="1"/>
    <col min="8" max="16384" width="9.375" style="83" customWidth="1"/>
  </cols>
  <sheetData>
    <row r="1" spans="1:7" ht="18.75" customHeight="1">
      <c r="A1" s="906" t="str">
        <f>CONCATENATE("22. melléklet ",Z_ALAPADATOK!A7," ",Z_ALAPADATOK!B7," ",Z_ALAPADATOK!C7," ",Z_ALAPADATOK!D7," ",Z_ALAPADATOK!E7," ",Z_ALAPADATOK!F7," ",Z_ALAPADATOK!G7," ",Z_ALAPADATOK!H7)</f>
        <v>22. melléklet a 3 / 2022. ( V. 26. ) önkormányzati rendelethez</v>
      </c>
      <c r="B1" s="907"/>
      <c r="C1" s="907"/>
      <c r="D1" s="907"/>
      <c r="E1" s="907"/>
      <c r="F1" s="907"/>
      <c r="G1" s="907"/>
    </row>
    <row r="3" spans="1:7" ht="15.75">
      <c r="A3" s="904" t="s">
        <v>609</v>
      </c>
      <c r="B3" s="905"/>
      <c r="C3" s="905"/>
      <c r="D3" s="905"/>
      <c r="E3" s="905"/>
      <c r="F3" s="905"/>
      <c r="G3" s="905"/>
    </row>
    <row r="5" ht="14.25" thickBot="1">
      <c r="G5" s="569" t="s">
        <v>611</v>
      </c>
    </row>
    <row r="6" spans="1:7" ht="17.25" customHeight="1" thickBot="1">
      <c r="A6" s="908" t="s">
        <v>4</v>
      </c>
      <c r="B6" s="910" t="s">
        <v>601</v>
      </c>
      <c r="C6" s="910" t="s">
        <v>602</v>
      </c>
      <c r="D6" s="910" t="s">
        <v>603</v>
      </c>
      <c r="E6" s="912" t="s">
        <v>604</v>
      </c>
      <c r="F6" s="912"/>
      <c r="G6" s="913"/>
    </row>
    <row r="7" spans="1:7" s="572" customFormat="1" ht="57.75" customHeight="1" thickBot="1">
      <c r="A7" s="909"/>
      <c r="B7" s="911"/>
      <c r="C7" s="911"/>
      <c r="D7" s="911"/>
      <c r="E7" s="570" t="s">
        <v>605</v>
      </c>
      <c r="F7" s="570" t="s">
        <v>606</v>
      </c>
      <c r="G7" s="571" t="s">
        <v>607</v>
      </c>
    </row>
    <row r="8" spans="1:7" s="203" customFormat="1" ht="15" customHeight="1" thickBot="1">
      <c r="A8" s="66" t="s">
        <v>384</v>
      </c>
      <c r="B8" s="67" t="s">
        <v>385</v>
      </c>
      <c r="C8" s="67" t="s">
        <v>386</v>
      </c>
      <c r="D8" s="67" t="s">
        <v>388</v>
      </c>
      <c r="E8" s="67" t="s">
        <v>608</v>
      </c>
      <c r="F8" s="67" t="s">
        <v>389</v>
      </c>
      <c r="G8" s="68" t="s">
        <v>390</v>
      </c>
    </row>
    <row r="9" spans="1:7" ht="15" customHeight="1">
      <c r="A9" s="573" t="s">
        <v>6</v>
      </c>
      <c r="B9" s="594" t="s">
        <v>620</v>
      </c>
      <c r="C9" s="574">
        <v>257888464</v>
      </c>
      <c r="D9" s="574"/>
      <c r="E9" s="575">
        <f>C9+D9</f>
        <v>257888464</v>
      </c>
      <c r="F9" s="574">
        <f>E9-G9</f>
        <v>249937605</v>
      </c>
      <c r="G9" s="576">
        <v>7950859</v>
      </c>
    </row>
    <row r="10" spans="1:7" ht="15" customHeight="1">
      <c r="A10" s="577" t="s">
        <v>7</v>
      </c>
      <c r="B10" s="595" t="s">
        <v>624</v>
      </c>
      <c r="C10" s="21">
        <v>2316175</v>
      </c>
      <c r="D10" s="21"/>
      <c r="E10" s="575">
        <f>C10+D10</f>
        <v>2316175</v>
      </c>
      <c r="F10" s="574">
        <f>E10-G10</f>
        <v>2316175</v>
      </c>
      <c r="G10" s="423"/>
    </row>
    <row r="11" spans="1:7" ht="44.25" customHeight="1" thickBot="1">
      <c r="A11" s="577" t="s">
        <v>8</v>
      </c>
      <c r="B11" s="596" t="s">
        <v>621</v>
      </c>
      <c r="C11" s="21">
        <v>6508983</v>
      </c>
      <c r="D11" s="21"/>
      <c r="E11" s="575">
        <f>C11+D11</f>
        <v>6508983</v>
      </c>
      <c r="F11" s="574">
        <f>E11-G11</f>
        <v>6508983</v>
      </c>
      <c r="G11" s="423"/>
    </row>
    <row r="12" spans="1:7" ht="15" customHeight="1" thickBot="1">
      <c r="A12" s="902" t="s">
        <v>38</v>
      </c>
      <c r="B12" s="903"/>
      <c r="C12" s="34">
        <f>SUM(C9:C11)</f>
        <v>266713622</v>
      </c>
      <c r="D12" s="34">
        <f>SUM(D9:D11)</f>
        <v>0</v>
      </c>
      <c r="E12" s="34">
        <f>SUM(E9:E11)</f>
        <v>266713622</v>
      </c>
      <c r="F12" s="34">
        <f>SUM(F9:F11)</f>
        <v>258762763</v>
      </c>
      <c r="G12" s="35">
        <f>SUM(G9:G11)</f>
        <v>7950859</v>
      </c>
    </row>
  </sheetData>
  <sheetProtection/>
  <mergeCells count="8">
    <mergeCell ref="A12:B12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6"/>
  <sheetViews>
    <sheetView view="pageBreakPreview" zoomScale="60" zoomScaleNormal="120" zoomScalePageLayoutView="120" workbookViewId="0" topLeftCell="A1">
      <selection activeCell="I59" sqref="H59:I59"/>
    </sheetView>
  </sheetViews>
  <sheetFormatPr defaultColWidth="9.00390625" defaultRowHeight="12.75"/>
  <cols>
    <col min="1" max="1" width="13.875" style="30" customWidth="1"/>
    <col min="2" max="2" width="88.625" style="30" customWidth="1"/>
    <col min="3" max="5" width="15.875" style="30" customWidth="1"/>
    <col min="6" max="6" width="4.875" style="567" customWidth="1"/>
    <col min="7" max="16384" width="9.375" style="30" customWidth="1"/>
  </cols>
  <sheetData>
    <row r="1" spans="2:6" ht="47.25" customHeight="1">
      <c r="B1" s="914" t="s">
        <v>728</v>
      </c>
      <c r="C1" s="914"/>
      <c r="D1" s="914"/>
      <c r="E1" s="914"/>
      <c r="F1" s="915" t="str">
        <f>CONCATENATE("23. melléklet ",Z_ALAPADATOK!A7," ",Z_ALAPADATOK!B7," ",Z_ALAPADATOK!C7," ",Z_ALAPADATOK!D7," ",Z_ALAPADATOK!E7," ",Z_ALAPADATOK!F7," ",Z_ALAPADATOK!G7," ",Z_ALAPADATOK!H7)</f>
        <v>23. melléklet a 3 / 2022. ( V. 26. ) önkormányzati rendelethez</v>
      </c>
    </row>
    <row r="2" spans="2:6" ht="22.5" customHeight="1" thickBot="1">
      <c r="B2" s="916"/>
      <c r="C2" s="916"/>
      <c r="D2" s="916"/>
      <c r="E2" s="549" t="s">
        <v>597</v>
      </c>
      <c r="F2" s="915"/>
    </row>
    <row r="3" spans="1:6" s="31" customFormat="1" ht="54" customHeight="1" thickBot="1">
      <c r="A3" s="550" t="s">
        <v>612</v>
      </c>
      <c r="B3" s="551" t="s">
        <v>598</v>
      </c>
      <c r="C3" s="552" t="str">
        <f>+CONCATENATE(Z_ALAPADATOK!B1,". évi tervezett támogatás összesen")</f>
        <v>2021. évi tervezett támogatás összesen</v>
      </c>
      <c r="D3" s="552" t="s">
        <v>599</v>
      </c>
      <c r="E3" s="553" t="s">
        <v>600</v>
      </c>
      <c r="F3" s="915"/>
    </row>
    <row r="4" spans="1:6" s="558" customFormat="1" ht="13.5" thickBot="1">
      <c r="A4" s="554" t="s">
        <v>384</v>
      </c>
      <c r="B4" s="555" t="s">
        <v>385</v>
      </c>
      <c r="C4" s="556" t="s">
        <v>386</v>
      </c>
      <c r="D4" s="556" t="s">
        <v>388</v>
      </c>
      <c r="E4" s="557" t="s">
        <v>387</v>
      </c>
      <c r="F4" s="915"/>
    </row>
    <row r="5" spans="1:6" ht="12.75">
      <c r="A5" s="600" t="s">
        <v>647</v>
      </c>
      <c r="B5" s="612" t="s">
        <v>648</v>
      </c>
      <c r="C5" s="559"/>
      <c r="D5" s="559"/>
      <c r="E5" s="560"/>
      <c r="F5" s="915"/>
    </row>
    <row r="6" spans="1:6" ht="12.75" customHeight="1">
      <c r="A6" s="597" t="s">
        <v>625</v>
      </c>
      <c r="B6" s="598" t="s">
        <v>626</v>
      </c>
      <c r="C6" s="618">
        <v>7086240</v>
      </c>
      <c r="D6" s="618">
        <v>7086240</v>
      </c>
      <c r="E6" s="618">
        <v>7086240</v>
      </c>
      <c r="F6" s="915"/>
    </row>
    <row r="7" spans="1:6" ht="12.75">
      <c r="A7" s="597"/>
      <c r="B7" s="598" t="s">
        <v>627</v>
      </c>
      <c r="C7" s="618">
        <v>0</v>
      </c>
      <c r="D7" s="769">
        <v>0</v>
      </c>
      <c r="E7" s="769">
        <v>0</v>
      </c>
      <c r="F7" s="915"/>
    </row>
    <row r="8" spans="1:6" ht="12.75">
      <c r="A8" s="597" t="s">
        <v>628</v>
      </c>
      <c r="B8" s="598" t="s">
        <v>629</v>
      </c>
      <c r="C8" s="618">
        <v>11936000</v>
      </c>
      <c r="D8" s="618">
        <v>11936000</v>
      </c>
      <c r="E8" s="618">
        <v>11936000</v>
      </c>
      <c r="F8" s="915"/>
    </row>
    <row r="9" spans="1:6" ht="12.75">
      <c r="A9" s="597" t="s">
        <v>630</v>
      </c>
      <c r="B9" s="598" t="s">
        <v>631</v>
      </c>
      <c r="C9" s="618">
        <v>775767</v>
      </c>
      <c r="D9" s="618">
        <v>775767</v>
      </c>
      <c r="E9" s="618">
        <v>775767</v>
      </c>
      <c r="F9" s="915"/>
    </row>
    <row r="10" spans="1:6" ht="12.75">
      <c r="A10" s="597" t="s">
        <v>632</v>
      </c>
      <c r="B10" s="598" t="s">
        <v>633</v>
      </c>
      <c r="C10" s="618">
        <v>5106138</v>
      </c>
      <c r="D10" s="618">
        <v>5286090</v>
      </c>
      <c r="E10" s="618">
        <v>5286090</v>
      </c>
      <c r="F10" s="915"/>
    </row>
    <row r="11" spans="1:6" ht="14.25">
      <c r="A11" s="597"/>
      <c r="B11" s="602" t="s">
        <v>37</v>
      </c>
      <c r="C11" s="770">
        <f>SUM(C6:C10)</f>
        <v>24904145</v>
      </c>
      <c r="D11" s="770">
        <f>SUM(D6:D10)</f>
        <v>25084097</v>
      </c>
      <c r="E11" s="770">
        <f>SUM(E6:E10)</f>
        <v>25084097</v>
      </c>
      <c r="F11" s="915"/>
    </row>
    <row r="12" spans="1:6" ht="15">
      <c r="A12" s="599"/>
      <c r="B12" s="600" t="s">
        <v>634</v>
      </c>
      <c r="C12" s="614">
        <f>SUM(C11:C11)</f>
        <v>24904145</v>
      </c>
      <c r="D12" s="614">
        <f>SUM(D11:D11)</f>
        <v>25084097</v>
      </c>
      <c r="E12" s="614">
        <f>SUM(E11:E11)</f>
        <v>25084097</v>
      </c>
      <c r="F12" s="915"/>
    </row>
    <row r="13" spans="1:6" ht="12.75">
      <c r="A13" s="599"/>
      <c r="B13" s="600"/>
      <c r="C13" s="618"/>
      <c r="D13" s="769"/>
      <c r="E13" s="769"/>
      <c r="F13" s="915"/>
    </row>
    <row r="14" spans="1:6" ht="12.75">
      <c r="A14" s="597" t="s">
        <v>635</v>
      </c>
      <c r="B14" s="598" t="s">
        <v>636</v>
      </c>
      <c r="C14" s="618">
        <v>8000000</v>
      </c>
      <c r="D14" s="618">
        <v>8000000</v>
      </c>
      <c r="E14" s="618">
        <v>8000000</v>
      </c>
      <c r="F14" s="915"/>
    </row>
    <row r="15" spans="1:6" ht="12.75">
      <c r="A15" s="597"/>
      <c r="B15" s="598" t="s">
        <v>637</v>
      </c>
      <c r="C15" s="618">
        <v>0</v>
      </c>
      <c r="D15" s="769">
        <v>0</v>
      </c>
      <c r="E15" s="769">
        <v>0</v>
      </c>
      <c r="F15" s="915"/>
    </row>
    <row r="16" spans="1:6" ht="15">
      <c r="A16" s="597"/>
      <c r="B16" s="600" t="s">
        <v>638</v>
      </c>
      <c r="C16" s="614">
        <f>C14+C15</f>
        <v>8000000</v>
      </c>
      <c r="D16" s="614">
        <f>D14+D15</f>
        <v>8000000</v>
      </c>
      <c r="E16" s="614">
        <f>E14+E15</f>
        <v>8000000</v>
      </c>
      <c r="F16" s="915"/>
    </row>
    <row r="17" spans="1:6" ht="12.75">
      <c r="A17" s="597"/>
      <c r="B17" s="598"/>
      <c r="C17" s="618"/>
      <c r="D17" s="769"/>
      <c r="E17" s="769"/>
      <c r="F17" s="915"/>
    </row>
    <row r="18" spans="1:6" ht="12.75">
      <c r="A18" s="597" t="s">
        <v>639</v>
      </c>
      <c r="B18" s="598" t="s">
        <v>640</v>
      </c>
      <c r="C18" s="618">
        <v>316200</v>
      </c>
      <c r="D18" s="618">
        <v>316200</v>
      </c>
      <c r="E18" s="618">
        <v>316200</v>
      </c>
      <c r="F18" s="915"/>
    </row>
    <row r="19" spans="1:6" ht="12.75">
      <c r="A19" s="597"/>
      <c r="B19" s="598" t="s">
        <v>637</v>
      </c>
      <c r="C19" s="618">
        <v>0</v>
      </c>
      <c r="D19" s="618">
        <v>0</v>
      </c>
      <c r="E19" s="618">
        <v>0</v>
      </c>
      <c r="F19" s="915"/>
    </row>
    <row r="20" spans="1:6" ht="15">
      <c r="A20" s="601"/>
      <c r="B20" s="602" t="s">
        <v>641</v>
      </c>
      <c r="C20" s="615">
        <f>SUM(C18:C19)</f>
        <v>316200</v>
      </c>
      <c r="D20" s="615">
        <f>SUM(D18:D19)</f>
        <v>316200</v>
      </c>
      <c r="E20" s="615">
        <f>SUM(E18:E19)</f>
        <v>316200</v>
      </c>
      <c r="F20" s="915"/>
    </row>
    <row r="21" spans="1:6" ht="12.75">
      <c r="A21" s="597"/>
      <c r="B21" s="598"/>
      <c r="C21" s="618"/>
      <c r="D21" s="769"/>
      <c r="E21" s="769"/>
      <c r="F21" s="915"/>
    </row>
    <row r="22" spans="1:6" ht="12.75">
      <c r="A22" s="597" t="s">
        <v>642</v>
      </c>
      <c r="B22" s="598" t="s">
        <v>643</v>
      </c>
      <c r="C22" s="618">
        <v>0</v>
      </c>
      <c r="D22" s="618">
        <v>0</v>
      </c>
      <c r="E22" s="618">
        <v>0</v>
      </c>
      <c r="F22" s="915"/>
    </row>
    <row r="23" spans="1:6" ht="12.75">
      <c r="A23" s="597"/>
      <c r="B23" s="598" t="s">
        <v>637</v>
      </c>
      <c r="C23" s="618">
        <v>0</v>
      </c>
      <c r="D23" s="618">
        <v>0</v>
      </c>
      <c r="E23" s="618">
        <v>0</v>
      </c>
      <c r="F23" s="915"/>
    </row>
    <row r="24" spans="1:6" ht="15">
      <c r="A24" s="597"/>
      <c r="B24" s="600" t="s">
        <v>644</v>
      </c>
      <c r="C24" s="614">
        <f>SUM(C22:C23)</f>
        <v>0</v>
      </c>
      <c r="D24" s="614">
        <f>SUM(D22:D23)</f>
        <v>0</v>
      </c>
      <c r="E24" s="614">
        <f>SUM(E22:E23)</f>
        <v>0</v>
      </c>
      <c r="F24" s="915"/>
    </row>
    <row r="25" spans="1:6" ht="12.75">
      <c r="A25" s="597" t="s">
        <v>645</v>
      </c>
      <c r="B25" s="598" t="s">
        <v>646</v>
      </c>
      <c r="C25" s="618">
        <v>0</v>
      </c>
      <c r="D25" s="769">
        <v>0</v>
      </c>
      <c r="E25" s="769">
        <v>0</v>
      </c>
      <c r="F25" s="915"/>
    </row>
    <row r="26" spans="1:6" ht="15">
      <c r="A26" s="599" t="s">
        <v>647</v>
      </c>
      <c r="B26" s="600" t="s">
        <v>648</v>
      </c>
      <c r="C26" s="614">
        <f>SUM(C12+C16+C20+C24+C25)</f>
        <v>33220345</v>
      </c>
      <c r="D26" s="614">
        <f>SUM(D12+D16+D20+D24+D25)</f>
        <v>33400297</v>
      </c>
      <c r="E26" s="614">
        <f>SUM(E12+E16+E20+E24+E25)</f>
        <v>33400297</v>
      </c>
      <c r="F26" s="915"/>
    </row>
    <row r="27" spans="1:6" ht="14.25">
      <c r="A27" s="597"/>
      <c r="B27" s="598" t="s">
        <v>637</v>
      </c>
      <c r="C27" s="613">
        <v>0</v>
      </c>
      <c r="D27" s="769"/>
      <c r="E27" s="769"/>
      <c r="F27" s="915"/>
    </row>
    <row r="28" spans="1:6" ht="12.75">
      <c r="A28" s="597"/>
      <c r="B28" s="598"/>
      <c r="C28" s="618"/>
      <c r="D28" s="769"/>
      <c r="E28" s="769"/>
      <c r="F28" s="915"/>
    </row>
    <row r="29" spans="1:6" ht="12.75">
      <c r="A29" s="597"/>
      <c r="B29" s="598"/>
      <c r="C29" s="618"/>
      <c r="D29" s="769"/>
      <c r="E29" s="769"/>
      <c r="F29" s="915"/>
    </row>
    <row r="30" spans="1:6" ht="12.75">
      <c r="A30" s="597"/>
      <c r="B30" s="598"/>
      <c r="C30" s="618"/>
      <c r="D30" s="769"/>
      <c r="E30" s="769"/>
      <c r="F30" s="915"/>
    </row>
    <row r="31" spans="1:6" ht="12.75">
      <c r="A31" s="597" t="s">
        <v>649</v>
      </c>
      <c r="B31" s="598" t="s">
        <v>650</v>
      </c>
      <c r="C31" s="618"/>
      <c r="D31" s="769"/>
      <c r="E31" s="769"/>
      <c r="F31" s="915"/>
    </row>
    <row r="32" spans="1:6" ht="12.75">
      <c r="A32" s="597" t="s">
        <v>6</v>
      </c>
      <c r="B32" s="598" t="s">
        <v>651</v>
      </c>
      <c r="C32" s="618">
        <v>23987600</v>
      </c>
      <c r="D32" s="769">
        <v>23813300</v>
      </c>
      <c r="E32" s="769">
        <v>23813300</v>
      </c>
      <c r="F32" s="915"/>
    </row>
    <row r="33" spans="1:6" ht="12.75">
      <c r="A33" s="597"/>
      <c r="B33" s="598" t="s">
        <v>652</v>
      </c>
      <c r="C33" s="618">
        <v>11993800</v>
      </c>
      <c r="D33" s="769">
        <v>11906650</v>
      </c>
      <c r="E33" s="769">
        <v>11906650</v>
      </c>
      <c r="F33" s="915"/>
    </row>
    <row r="34" spans="1:6" ht="12.75">
      <c r="A34" s="597" t="s">
        <v>7</v>
      </c>
      <c r="B34" s="603" t="s">
        <v>653</v>
      </c>
      <c r="C34" s="618">
        <v>3136280</v>
      </c>
      <c r="D34" s="769">
        <v>2941480</v>
      </c>
      <c r="E34" s="769">
        <v>2941480</v>
      </c>
      <c r="F34" s="915"/>
    </row>
    <row r="35" spans="1:6" ht="12.75">
      <c r="A35" s="597"/>
      <c r="B35" s="603" t="s">
        <v>654</v>
      </c>
      <c r="C35" s="618">
        <v>1568140</v>
      </c>
      <c r="D35" s="769">
        <v>1470740</v>
      </c>
      <c r="E35" s="769">
        <v>1470740</v>
      </c>
      <c r="F35" s="915"/>
    </row>
    <row r="36" spans="1:6" ht="15">
      <c r="A36" s="600" t="s">
        <v>649</v>
      </c>
      <c r="B36" s="600" t="s">
        <v>655</v>
      </c>
      <c r="C36" s="614">
        <f>SUM(C32:C35)</f>
        <v>40685820</v>
      </c>
      <c r="D36" s="614">
        <f>SUM(D32:D35)</f>
        <v>40132170</v>
      </c>
      <c r="E36" s="614">
        <f>SUM(E32:E35)</f>
        <v>40132170</v>
      </c>
      <c r="F36" s="915"/>
    </row>
    <row r="37" spans="1:6" ht="12.75">
      <c r="A37" s="598"/>
      <c r="B37" s="598"/>
      <c r="C37" s="618"/>
      <c r="D37" s="769"/>
      <c r="E37" s="769"/>
      <c r="F37" s="915"/>
    </row>
    <row r="38" spans="1:6" ht="12.75">
      <c r="A38" s="598" t="s">
        <v>656</v>
      </c>
      <c r="B38" s="604" t="s">
        <v>657</v>
      </c>
      <c r="C38" s="618"/>
      <c r="D38" s="769"/>
      <c r="E38" s="769"/>
      <c r="F38" s="915"/>
    </row>
    <row r="39" spans="1:6" ht="12.75">
      <c r="A39" s="598"/>
      <c r="B39" s="600"/>
      <c r="C39" s="618"/>
      <c r="D39" s="769"/>
      <c r="E39" s="769"/>
      <c r="F39" s="915"/>
    </row>
    <row r="40" spans="1:6" ht="15.75">
      <c r="A40" s="602" t="s">
        <v>7</v>
      </c>
      <c r="B40" s="602" t="s">
        <v>658</v>
      </c>
      <c r="C40" s="771">
        <v>3547000</v>
      </c>
      <c r="D40" s="771">
        <v>3547000</v>
      </c>
      <c r="E40" s="771">
        <v>3547000</v>
      </c>
      <c r="F40" s="915"/>
    </row>
    <row r="41" spans="1:6" ht="12.75">
      <c r="A41" s="598" t="s">
        <v>8</v>
      </c>
      <c r="B41" s="600" t="s">
        <v>659</v>
      </c>
      <c r="C41" s="618"/>
      <c r="D41" s="769"/>
      <c r="E41" s="769"/>
      <c r="F41" s="915"/>
    </row>
    <row r="42" spans="1:6" ht="12.75">
      <c r="A42" s="598" t="s">
        <v>660</v>
      </c>
      <c r="B42" s="598" t="s">
        <v>661</v>
      </c>
      <c r="C42" s="618">
        <v>1459920</v>
      </c>
      <c r="D42" s="769">
        <v>1917407</v>
      </c>
      <c r="E42" s="769">
        <v>1917407</v>
      </c>
      <c r="F42" s="915"/>
    </row>
    <row r="43" spans="1:6" ht="12.75">
      <c r="A43" s="598" t="s">
        <v>662</v>
      </c>
      <c r="B43" s="598" t="s">
        <v>663</v>
      </c>
      <c r="C43" s="618">
        <v>4479000</v>
      </c>
      <c r="D43" s="769">
        <v>4572000</v>
      </c>
      <c r="E43" s="769">
        <v>4572000</v>
      </c>
      <c r="F43" s="915"/>
    </row>
    <row r="44" spans="1:6" ht="12.75">
      <c r="A44" s="598" t="s">
        <v>664</v>
      </c>
      <c r="B44" s="598" t="s">
        <v>665</v>
      </c>
      <c r="C44" s="618"/>
      <c r="D44" s="769"/>
      <c r="E44" s="769"/>
      <c r="F44" s="915"/>
    </row>
    <row r="45" spans="1:6" ht="15">
      <c r="A45" s="598"/>
      <c r="B45" s="600" t="s">
        <v>38</v>
      </c>
      <c r="C45" s="614">
        <f>SUM(C42:C44)</f>
        <v>5938920</v>
      </c>
      <c r="D45" s="614">
        <f>SUM(D42:D44)</f>
        <v>6489407</v>
      </c>
      <c r="E45" s="614">
        <f>SUM(E42:E44)</f>
        <v>6489407</v>
      </c>
      <c r="F45" s="915"/>
    </row>
    <row r="46" spans="1:6" ht="12.75">
      <c r="A46" s="598"/>
      <c r="B46" s="600" t="s">
        <v>666</v>
      </c>
      <c r="C46" s="618"/>
      <c r="D46" s="769"/>
      <c r="E46" s="769"/>
      <c r="F46" s="915"/>
    </row>
    <row r="47" spans="1:6" ht="12.75">
      <c r="A47" s="598"/>
      <c r="B47" s="600"/>
      <c r="C47" s="618"/>
      <c r="D47" s="769"/>
      <c r="E47" s="769"/>
      <c r="F47" s="915"/>
    </row>
    <row r="48" spans="1:6" ht="12.75">
      <c r="A48" s="598" t="s">
        <v>10</v>
      </c>
      <c r="B48" s="600" t="s">
        <v>667</v>
      </c>
      <c r="C48" s="618"/>
      <c r="D48" s="769"/>
      <c r="E48" s="769"/>
      <c r="F48" s="915"/>
    </row>
    <row r="49" spans="1:6" ht="12.75">
      <c r="A49" s="598"/>
      <c r="B49" s="600" t="s">
        <v>668</v>
      </c>
      <c r="C49" s="618">
        <v>10620720</v>
      </c>
      <c r="D49" s="769">
        <v>11178000</v>
      </c>
      <c r="E49" s="769">
        <v>11178000</v>
      </c>
      <c r="F49" s="915"/>
    </row>
    <row r="50" spans="1:6" ht="12.75">
      <c r="A50" s="598"/>
      <c r="B50" s="600" t="s">
        <v>669</v>
      </c>
      <c r="C50" s="618">
        <v>12205692</v>
      </c>
      <c r="D50" s="769">
        <v>16180771</v>
      </c>
      <c r="E50" s="769">
        <v>16180771</v>
      </c>
      <c r="F50" s="915"/>
    </row>
    <row r="51" spans="1:6" ht="12.75">
      <c r="A51" s="598"/>
      <c r="B51" s="600" t="s">
        <v>670</v>
      </c>
      <c r="C51" s="618"/>
      <c r="D51" s="769"/>
      <c r="E51" s="769"/>
      <c r="F51" s="915"/>
    </row>
    <row r="52" spans="1:6" ht="15">
      <c r="A52" s="598"/>
      <c r="B52" s="600" t="s">
        <v>671</v>
      </c>
      <c r="C52" s="617">
        <f>SUM(C49:C51)</f>
        <v>22826412</v>
      </c>
      <c r="D52" s="617">
        <f>SUM(D49:D51)</f>
        <v>27358771</v>
      </c>
      <c r="E52" s="617">
        <f>SUM(E49:E51)</f>
        <v>27358771</v>
      </c>
      <c r="F52" s="915"/>
    </row>
    <row r="53" spans="1:6" ht="12.75">
      <c r="A53" s="598"/>
      <c r="B53" s="600"/>
      <c r="C53" s="618"/>
      <c r="D53" s="769"/>
      <c r="E53" s="769"/>
      <c r="F53" s="915"/>
    </row>
    <row r="54" spans="1:6" ht="15">
      <c r="A54" s="598" t="s">
        <v>656</v>
      </c>
      <c r="B54" s="604" t="s">
        <v>657</v>
      </c>
      <c r="C54" s="617">
        <f>SUM(C52+C45+C40)</f>
        <v>32312332</v>
      </c>
      <c r="D54" s="617">
        <f>SUM(D52+D45+D40)</f>
        <v>37395178</v>
      </c>
      <c r="E54" s="617">
        <f>SUM(E52+E45+E40)</f>
        <v>37395178</v>
      </c>
      <c r="F54" s="915"/>
    </row>
    <row r="55" spans="1:6" ht="12.75">
      <c r="A55" s="598"/>
      <c r="B55" s="600"/>
      <c r="C55" s="618"/>
      <c r="D55" s="769"/>
      <c r="E55" s="769"/>
      <c r="F55" s="915"/>
    </row>
    <row r="56" spans="1:6" ht="15">
      <c r="A56" s="600"/>
      <c r="B56" s="600" t="s">
        <v>672</v>
      </c>
      <c r="C56" s="614">
        <f>C54+C36+C26</f>
        <v>106218497</v>
      </c>
      <c r="D56" s="614">
        <f>D54+D36+D26</f>
        <v>110927645</v>
      </c>
      <c r="E56" s="614">
        <f>E54+E36+E26</f>
        <v>110927645</v>
      </c>
      <c r="F56" s="915"/>
    </row>
    <row r="57" spans="1:6" ht="12.75">
      <c r="A57" s="598"/>
      <c r="B57" s="598"/>
      <c r="C57" s="618"/>
      <c r="D57" s="769"/>
      <c r="E57" s="769"/>
      <c r="F57" s="915"/>
    </row>
    <row r="58" spans="1:6" ht="15.75">
      <c r="A58" s="605"/>
      <c r="B58" s="683" t="s">
        <v>673</v>
      </c>
      <c r="C58" s="771">
        <v>3205090</v>
      </c>
      <c r="D58" s="771">
        <v>3258262</v>
      </c>
      <c r="E58" s="771">
        <v>3258262</v>
      </c>
      <c r="F58" s="915"/>
    </row>
    <row r="59" spans="1:6" ht="12.75">
      <c r="A59" s="606"/>
      <c r="B59" s="607"/>
      <c r="C59" s="618"/>
      <c r="D59" s="769"/>
      <c r="E59" s="769"/>
      <c r="F59" s="915"/>
    </row>
    <row r="60" spans="1:6" ht="15">
      <c r="A60" s="608"/>
      <c r="B60" s="609" t="s">
        <v>674</v>
      </c>
      <c r="C60" s="616"/>
      <c r="D60" s="772"/>
      <c r="E60" s="772"/>
      <c r="F60" s="915"/>
    </row>
    <row r="61" spans="1:6" ht="12.75">
      <c r="A61" s="606"/>
      <c r="B61" s="607"/>
      <c r="C61" s="618"/>
      <c r="D61" s="769"/>
      <c r="E61" s="769"/>
      <c r="F61" s="915"/>
    </row>
    <row r="62" spans="1:6" ht="12.75">
      <c r="A62" s="606"/>
      <c r="B62" s="607"/>
      <c r="C62" s="618"/>
      <c r="D62" s="769"/>
      <c r="E62" s="769"/>
      <c r="F62" s="915"/>
    </row>
    <row r="63" spans="1:6" ht="15">
      <c r="A63" s="610"/>
      <c r="B63" s="611" t="s">
        <v>675</v>
      </c>
      <c r="C63" s="614">
        <f>C56+C58+C60</f>
        <v>109423587</v>
      </c>
      <c r="D63" s="614">
        <f>D56+D58+D60</f>
        <v>114185907</v>
      </c>
      <c r="E63" s="614">
        <f>E56+E58+E60</f>
        <v>114185907</v>
      </c>
      <c r="F63" s="915"/>
    </row>
    <row r="64" spans="1:6" ht="13.5" thickBot="1">
      <c r="A64" s="561"/>
      <c r="B64" s="562"/>
      <c r="C64" s="559"/>
      <c r="D64" s="559"/>
      <c r="E64" s="559"/>
      <c r="F64" s="915"/>
    </row>
    <row r="65" spans="1:6" s="566" customFormat="1" ht="19.5" customHeight="1" thickBot="1">
      <c r="A65" s="563"/>
      <c r="B65" s="564" t="s">
        <v>38</v>
      </c>
      <c r="C65" s="565">
        <f>C63</f>
        <v>109423587</v>
      </c>
      <c r="D65" s="565">
        <f>D63</f>
        <v>114185907</v>
      </c>
      <c r="E65" s="565">
        <f>E63</f>
        <v>114185907</v>
      </c>
      <c r="F65" s="915"/>
    </row>
    <row r="66" spans="1:2" ht="12.75">
      <c r="A66" s="917" t="s">
        <v>729</v>
      </c>
      <c r="B66" s="917"/>
    </row>
  </sheetData>
  <sheetProtection/>
  <mergeCells count="4">
    <mergeCell ref="B1:E1"/>
    <mergeCell ref="F1:F65"/>
    <mergeCell ref="B2:D2"/>
    <mergeCell ref="A66:B6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0"/>
  <sheetViews>
    <sheetView view="pageBreakPreview" zoomScaleNormal="120" zoomScaleSheetLayoutView="100" workbookViewId="0" topLeftCell="A1">
      <selection activeCell="O22" sqref="O22"/>
    </sheetView>
  </sheetViews>
  <sheetFormatPr defaultColWidth="9.00390625" defaultRowHeight="12.75"/>
  <cols>
    <col min="1" max="1" width="9.00390625" style="139" customWidth="1"/>
    <col min="2" max="2" width="68.875" style="139" customWidth="1"/>
    <col min="3" max="4" width="18.875" style="139" customWidth="1"/>
    <col min="5" max="6" width="18.875" style="140" customWidth="1"/>
    <col min="7" max="16384" width="9.375" style="161" customWidth="1"/>
  </cols>
  <sheetData>
    <row r="1" spans="1:6" ht="15.75">
      <c r="A1" s="828" t="str">
        <f>CONCATENATE("24. melléklet ",Z_ALAPADATOK!A7," ",Z_ALAPADATOK!B7," ",Z_ALAPADATOK!C7," ",Z_ALAPADATOK!D7," ",Z_ALAPADATOK!E7," ",Z_ALAPADATOK!F7," ",Z_ALAPADATOK!G7," ",Z_ALAPADATOK!H7)</f>
        <v>24. melléklet a 3 / 2022. ( V. 26. ) önkormányzati rendelethez</v>
      </c>
      <c r="B1" s="829"/>
      <c r="C1" s="829"/>
      <c r="D1" s="829"/>
      <c r="E1" s="829"/>
      <c r="F1" s="829"/>
    </row>
    <row r="2" spans="1:6" ht="15.75">
      <c r="A2" s="830" t="str">
        <f>CONCATENATE(Z_ALAPADATOK!A3)</f>
        <v>Balatonvilágos Község Önkormányzata</v>
      </c>
      <c r="B2" s="831"/>
      <c r="C2" s="831"/>
      <c r="D2" s="831"/>
      <c r="E2" s="831"/>
      <c r="F2" s="831"/>
    </row>
    <row r="3" spans="1:6" ht="15.75">
      <c r="A3" s="830" t="s">
        <v>731</v>
      </c>
      <c r="B3" s="831"/>
      <c r="C3" s="831"/>
      <c r="D3" s="831"/>
      <c r="E3" s="831"/>
      <c r="F3" s="831"/>
    </row>
    <row r="4" spans="1:6" ht="15.75" customHeight="1">
      <c r="A4" s="842" t="s">
        <v>3</v>
      </c>
      <c r="B4" s="842"/>
      <c r="C4" s="842"/>
      <c r="D4" s="842"/>
      <c r="E4" s="842"/>
      <c r="F4" s="842"/>
    </row>
    <row r="5" spans="1:6" ht="15.75" customHeight="1" thickBot="1">
      <c r="A5" s="505" t="s">
        <v>101</v>
      </c>
      <c r="B5" s="505"/>
      <c r="C5" s="505"/>
      <c r="D5" s="505"/>
      <c r="E5" s="506"/>
      <c r="F5" s="506" t="s">
        <v>597</v>
      </c>
    </row>
    <row r="6" spans="1:6" ht="15.75" customHeight="1">
      <c r="A6" s="834" t="s">
        <v>51</v>
      </c>
      <c r="B6" s="836" t="s">
        <v>5</v>
      </c>
      <c r="C6" s="924" t="s">
        <v>732</v>
      </c>
      <c r="D6" s="921" t="s">
        <v>730</v>
      </c>
      <c r="E6" s="922"/>
      <c r="F6" s="923"/>
    </row>
    <row r="7" spans="1:6" ht="37.5" customHeight="1" thickBot="1">
      <c r="A7" s="835"/>
      <c r="B7" s="837"/>
      <c r="C7" s="925"/>
      <c r="D7" s="621" t="s">
        <v>453</v>
      </c>
      <c r="E7" s="507" t="s">
        <v>454</v>
      </c>
      <c r="F7" s="340" t="s">
        <v>444</v>
      </c>
    </row>
    <row r="8" spans="1:6" s="162" customFormat="1" ht="12" customHeight="1" thickBot="1">
      <c r="A8" s="158" t="s">
        <v>384</v>
      </c>
      <c r="B8" s="159" t="s">
        <v>385</v>
      </c>
      <c r="C8" s="619" t="s">
        <v>386</v>
      </c>
      <c r="D8" s="622" t="s">
        <v>388</v>
      </c>
      <c r="E8" s="620" t="s">
        <v>387</v>
      </c>
      <c r="F8" s="508" t="s">
        <v>389</v>
      </c>
    </row>
    <row r="9" spans="1:6" s="163" customFormat="1" ht="12" customHeight="1" thickBot="1">
      <c r="A9" s="18" t="s">
        <v>6</v>
      </c>
      <c r="B9" s="19" t="s">
        <v>159</v>
      </c>
      <c r="C9" s="151">
        <f>+C10+C11+C12+C14+C15+C16+C13</f>
        <v>128711275</v>
      </c>
      <c r="D9" s="151">
        <f>+D10+D11+D12+D14+D15+D16+D13</f>
        <v>109423587</v>
      </c>
      <c r="E9" s="151">
        <f>+E10+E11+E12+E14+E15+E16+E13</f>
        <v>138642904</v>
      </c>
      <c r="F9" s="87">
        <f>+F10+F11+F12+F13+F14+F15+F16</f>
        <v>138642904</v>
      </c>
    </row>
    <row r="10" spans="1:6" s="163" customFormat="1" ht="12" customHeight="1">
      <c r="A10" s="13" t="s">
        <v>63</v>
      </c>
      <c r="B10" s="164" t="s">
        <v>160</v>
      </c>
      <c r="C10" s="89">
        <v>30323613</v>
      </c>
      <c r="D10" s="753">
        <v>33220345</v>
      </c>
      <c r="E10" s="235">
        <v>33400297</v>
      </c>
      <c r="F10" s="89">
        <v>33400297</v>
      </c>
    </row>
    <row r="11" spans="1:6" s="163" customFormat="1" ht="12" customHeight="1">
      <c r="A11" s="12" t="s">
        <v>64</v>
      </c>
      <c r="B11" s="165" t="s">
        <v>161</v>
      </c>
      <c r="C11" s="88">
        <v>42355280</v>
      </c>
      <c r="D11" s="754">
        <v>40685820</v>
      </c>
      <c r="E11" s="236">
        <v>40132170</v>
      </c>
      <c r="F11" s="88">
        <v>40132170</v>
      </c>
    </row>
    <row r="12" spans="1:6" s="163" customFormat="1" ht="12" customHeight="1">
      <c r="A12" s="12" t="s">
        <v>65</v>
      </c>
      <c r="B12" s="165" t="s">
        <v>162</v>
      </c>
      <c r="C12" s="88">
        <v>11033201</v>
      </c>
      <c r="D12" s="754">
        <v>9485920</v>
      </c>
      <c r="E12" s="236">
        <v>10036407</v>
      </c>
      <c r="F12" s="88">
        <v>10036407</v>
      </c>
    </row>
    <row r="13" spans="1:6" s="163" customFormat="1" ht="12" customHeight="1">
      <c r="A13" s="12" t="s">
        <v>66</v>
      </c>
      <c r="B13" s="165" t="s">
        <v>623</v>
      </c>
      <c r="C13" s="88">
        <v>24325077</v>
      </c>
      <c r="D13" s="754">
        <v>22826412</v>
      </c>
      <c r="E13" s="236">
        <v>27358771</v>
      </c>
      <c r="F13" s="88">
        <v>27358771</v>
      </c>
    </row>
    <row r="14" spans="1:6" s="163" customFormat="1" ht="12" customHeight="1">
      <c r="A14" s="12" t="s">
        <v>98</v>
      </c>
      <c r="B14" s="165" t="s">
        <v>163</v>
      </c>
      <c r="C14" s="88">
        <v>2494604</v>
      </c>
      <c r="D14" s="754">
        <v>3205090</v>
      </c>
      <c r="E14" s="236">
        <v>3258262</v>
      </c>
      <c r="F14" s="88">
        <v>3258262</v>
      </c>
    </row>
    <row r="15" spans="1:6" s="163" customFormat="1" ht="12" customHeight="1">
      <c r="A15" s="14" t="s">
        <v>67</v>
      </c>
      <c r="B15" s="165" t="s">
        <v>392</v>
      </c>
      <c r="C15" s="88">
        <v>18179500</v>
      </c>
      <c r="D15" s="152"/>
      <c r="E15" s="236">
        <v>23704197</v>
      </c>
      <c r="F15" s="88">
        <v>23704197</v>
      </c>
    </row>
    <row r="16" spans="1:6" s="163" customFormat="1" ht="12" customHeight="1" thickBot="1">
      <c r="A16" s="14" t="s">
        <v>68</v>
      </c>
      <c r="B16" s="403" t="s">
        <v>811</v>
      </c>
      <c r="C16" s="404"/>
      <c r="D16" s="152"/>
      <c r="E16" s="236">
        <v>752800</v>
      </c>
      <c r="F16" s="88">
        <v>752800</v>
      </c>
    </row>
    <row r="17" spans="1:6" s="163" customFormat="1" ht="12" customHeight="1" thickBot="1">
      <c r="A17" s="18" t="s">
        <v>7</v>
      </c>
      <c r="B17" s="94" t="s">
        <v>164</v>
      </c>
      <c r="C17" s="151">
        <f>+C18+C19+C20+C21+C22</f>
        <v>27903346</v>
      </c>
      <c r="D17" s="151">
        <f>+D18+D19+D20+D21+D22</f>
        <v>18977700</v>
      </c>
      <c r="E17" s="234">
        <f>+E18+E19+E20+E21+E22</f>
        <v>29061506</v>
      </c>
      <c r="F17" s="87">
        <f>+F18+F19+F20+F21+F22</f>
        <v>28876906</v>
      </c>
    </row>
    <row r="18" spans="1:6" s="163" customFormat="1" ht="12" customHeight="1">
      <c r="A18" s="13" t="s">
        <v>69</v>
      </c>
      <c r="B18" s="164" t="s">
        <v>165</v>
      </c>
      <c r="C18" s="153"/>
      <c r="D18" s="153"/>
      <c r="E18" s="235"/>
      <c r="F18" s="89"/>
    </row>
    <row r="19" spans="1:6" s="163" customFormat="1" ht="12" customHeight="1">
      <c r="A19" s="12" t="s">
        <v>70</v>
      </c>
      <c r="B19" s="165" t="s">
        <v>166</v>
      </c>
      <c r="C19" s="152"/>
      <c r="D19" s="152"/>
      <c r="E19" s="236"/>
      <c r="F19" s="88"/>
    </row>
    <row r="20" spans="1:6" s="163" customFormat="1" ht="12" customHeight="1">
      <c r="A20" s="12" t="s">
        <v>71</v>
      </c>
      <c r="B20" s="165" t="s">
        <v>324</v>
      </c>
      <c r="C20" s="152"/>
      <c r="D20" s="152"/>
      <c r="E20" s="236"/>
      <c r="F20" s="88"/>
    </row>
    <row r="21" spans="1:6" s="163" customFormat="1" ht="12" customHeight="1">
      <c r="A21" s="12" t="s">
        <v>72</v>
      </c>
      <c r="B21" s="165" t="s">
        <v>325</v>
      </c>
      <c r="C21" s="152"/>
      <c r="D21" s="152"/>
      <c r="E21" s="236"/>
      <c r="F21" s="88"/>
    </row>
    <row r="22" spans="1:6" s="163" customFormat="1" ht="12" customHeight="1">
      <c r="A22" s="12" t="s">
        <v>73</v>
      </c>
      <c r="B22" s="165" t="s">
        <v>167</v>
      </c>
      <c r="C22" s="88">
        <v>27903346</v>
      </c>
      <c r="D22" s="152">
        <v>18977700</v>
      </c>
      <c r="E22" s="236">
        <v>29061506</v>
      </c>
      <c r="F22" s="88">
        <v>28876906</v>
      </c>
    </row>
    <row r="23" spans="1:6" s="163" customFormat="1" ht="12" customHeight="1" thickBot="1">
      <c r="A23" s="14" t="s">
        <v>80</v>
      </c>
      <c r="B23" s="96" t="s">
        <v>168</v>
      </c>
      <c r="C23" s="154"/>
      <c r="D23" s="154"/>
      <c r="E23" s="237"/>
      <c r="F23" s="90"/>
    </row>
    <row r="24" spans="1:6" s="163" customFormat="1" ht="12" customHeight="1" thickBot="1">
      <c r="A24" s="18" t="s">
        <v>8</v>
      </c>
      <c r="B24" s="19" t="s">
        <v>169</v>
      </c>
      <c r="C24" s="151">
        <f>+C25+C26+C27+C28+C29</f>
        <v>108289975</v>
      </c>
      <c r="D24" s="151">
        <f>+D25+D26+D27+D28+D29</f>
        <v>0</v>
      </c>
      <c r="E24" s="234">
        <f>+E25+E26+E27+E28+E29</f>
        <v>50735946</v>
      </c>
      <c r="F24" s="87">
        <f>+F25+F26+F27+F28+F29</f>
        <v>50735946</v>
      </c>
    </row>
    <row r="25" spans="1:6" s="163" customFormat="1" ht="12" customHeight="1">
      <c r="A25" s="13" t="s">
        <v>52</v>
      </c>
      <c r="B25" s="164" t="s">
        <v>170</v>
      </c>
      <c r="C25" s="153"/>
      <c r="D25" s="153"/>
      <c r="E25" s="235">
        <v>50735946</v>
      </c>
      <c r="F25" s="89">
        <v>50735946</v>
      </c>
    </row>
    <row r="26" spans="1:6" s="163" customFormat="1" ht="12" customHeight="1">
      <c r="A26" s="12" t="s">
        <v>53</v>
      </c>
      <c r="B26" s="165" t="s">
        <v>171</v>
      </c>
      <c r="C26" s="152"/>
      <c r="D26" s="152"/>
      <c r="E26" s="236"/>
      <c r="F26" s="88"/>
    </row>
    <row r="27" spans="1:6" s="163" customFormat="1" ht="12" customHeight="1">
      <c r="A27" s="12" t="s">
        <v>54</v>
      </c>
      <c r="B27" s="165" t="s">
        <v>326</v>
      </c>
      <c r="C27" s="152"/>
      <c r="D27" s="152"/>
      <c r="E27" s="236"/>
      <c r="F27" s="88"/>
    </row>
    <row r="28" spans="1:6" s="163" customFormat="1" ht="12" customHeight="1">
      <c r="A28" s="12" t="s">
        <v>55</v>
      </c>
      <c r="B28" s="165" t="s">
        <v>327</v>
      </c>
      <c r="C28" s="152"/>
      <c r="D28" s="152"/>
      <c r="E28" s="236"/>
      <c r="F28" s="88"/>
    </row>
    <row r="29" spans="1:6" s="163" customFormat="1" ht="12" customHeight="1">
      <c r="A29" s="12" t="s">
        <v>111</v>
      </c>
      <c r="B29" s="165" t="s">
        <v>172</v>
      </c>
      <c r="C29" s="88">
        <v>108289975</v>
      </c>
      <c r="D29" s="152"/>
      <c r="E29" s="236"/>
      <c r="F29" s="88"/>
    </row>
    <row r="30" spans="1:6" s="163" customFormat="1" ht="12" customHeight="1" thickBot="1">
      <c r="A30" s="14" t="s">
        <v>112</v>
      </c>
      <c r="B30" s="166" t="s">
        <v>173</v>
      </c>
      <c r="C30" s="154"/>
      <c r="D30" s="154"/>
      <c r="E30" s="237"/>
      <c r="F30" s="90"/>
    </row>
    <row r="31" spans="1:6" s="163" customFormat="1" ht="12" customHeight="1" thickBot="1">
      <c r="A31" s="18" t="s">
        <v>113</v>
      </c>
      <c r="B31" s="19" t="s">
        <v>478</v>
      </c>
      <c r="C31" s="157">
        <f>SUM(C32:C39)</f>
        <v>192949177</v>
      </c>
      <c r="D31" s="157">
        <f>+D32+D34+D35+D36+D37+D38+D39+D33</f>
        <v>177300000</v>
      </c>
      <c r="E31" s="238">
        <f>SUM(E32:E39)</f>
        <v>203416565</v>
      </c>
      <c r="F31" s="193">
        <f>SUM(F32:F39)</f>
        <v>202623772</v>
      </c>
    </row>
    <row r="32" spans="1:6" s="163" customFormat="1" ht="12" customHeight="1">
      <c r="A32" s="181" t="s">
        <v>174</v>
      </c>
      <c r="B32" s="164" t="s">
        <v>479</v>
      </c>
      <c r="C32" s="153">
        <v>147627628</v>
      </c>
      <c r="D32" s="584">
        <v>135000000</v>
      </c>
      <c r="E32" s="153">
        <v>135000000</v>
      </c>
      <c r="F32" s="89">
        <v>133908220</v>
      </c>
    </row>
    <row r="33" spans="1:6" s="163" customFormat="1" ht="12" customHeight="1">
      <c r="A33" s="181" t="s">
        <v>175</v>
      </c>
      <c r="B33" s="164" t="s">
        <v>769</v>
      </c>
      <c r="C33" s="152"/>
      <c r="D33" s="584">
        <v>6500000</v>
      </c>
      <c r="E33" s="152">
        <v>6500000</v>
      </c>
      <c r="F33" s="88">
        <v>6818987</v>
      </c>
    </row>
    <row r="34" spans="1:6" s="163" customFormat="1" ht="12" customHeight="1">
      <c r="A34" s="182" t="s">
        <v>176</v>
      </c>
      <c r="B34" s="165" t="s">
        <v>480</v>
      </c>
      <c r="C34" s="152">
        <v>403280</v>
      </c>
      <c r="D34" s="152"/>
      <c r="E34" s="152">
        <v>14218800</v>
      </c>
      <c r="F34" s="88">
        <v>14218800</v>
      </c>
    </row>
    <row r="35" spans="1:6" s="163" customFormat="1" ht="12" customHeight="1">
      <c r="A35" s="182" t="s">
        <v>177</v>
      </c>
      <c r="B35" s="165" t="s">
        <v>481</v>
      </c>
      <c r="C35" s="152">
        <v>43181484</v>
      </c>
      <c r="D35" s="152">
        <v>35000000</v>
      </c>
      <c r="E35" s="152">
        <v>44694154</v>
      </c>
      <c r="F35" s="88">
        <v>44694154</v>
      </c>
    </row>
    <row r="36" spans="1:6" s="163" customFormat="1" ht="12" customHeight="1">
      <c r="A36" s="182" t="s">
        <v>483</v>
      </c>
      <c r="B36" s="165" t="s">
        <v>770</v>
      </c>
      <c r="C36" s="152"/>
      <c r="D36" s="152">
        <v>650000</v>
      </c>
      <c r="E36" s="152">
        <v>943108</v>
      </c>
      <c r="F36" s="88">
        <v>943108</v>
      </c>
    </row>
    <row r="37" spans="1:6" s="163" customFormat="1" ht="12" customHeight="1">
      <c r="A37" s="182" t="s">
        <v>484</v>
      </c>
      <c r="B37" s="165" t="s">
        <v>773</v>
      </c>
      <c r="C37" s="152"/>
      <c r="D37" s="152"/>
      <c r="E37" s="152">
        <v>345180</v>
      </c>
      <c r="F37" s="88">
        <v>348180</v>
      </c>
    </row>
    <row r="38" spans="1:6" s="163" customFormat="1" ht="12" customHeight="1">
      <c r="A38" s="182" t="s">
        <v>485</v>
      </c>
      <c r="B38" s="165" t="s">
        <v>771</v>
      </c>
      <c r="C38" s="154"/>
      <c r="D38" s="152">
        <v>150000</v>
      </c>
      <c r="E38" s="152">
        <v>150000</v>
      </c>
      <c r="F38" s="88">
        <v>130000</v>
      </c>
    </row>
    <row r="39" spans="1:6" s="163" customFormat="1" ht="12" customHeight="1" thickBot="1">
      <c r="A39" s="183" t="s">
        <v>772</v>
      </c>
      <c r="B39" s="310" t="s">
        <v>774</v>
      </c>
      <c r="C39" s="154">
        <v>1736785</v>
      </c>
      <c r="D39" s="154"/>
      <c r="E39" s="154">
        <v>1565323</v>
      </c>
      <c r="F39" s="90">
        <v>1562323</v>
      </c>
    </row>
    <row r="40" spans="1:6" s="163" customFormat="1" ht="12" customHeight="1" thickBot="1">
      <c r="A40" s="18" t="s">
        <v>10</v>
      </c>
      <c r="B40" s="19" t="s">
        <v>334</v>
      </c>
      <c r="C40" s="151">
        <f>SUM(C41:C51)</f>
        <v>68340072</v>
      </c>
      <c r="D40" s="151">
        <f>SUM(D41:D51)</f>
        <v>55715692</v>
      </c>
      <c r="E40" s="234">
        <f>SUM(E41:E51)</f>
        <v>76115201</v>
      </c>
      <c r="F40" s="87">
        <f>SUM(F41:F51)</f>
        <v>71668783</v>
      </c>
    </row>
    <row r="41" spans="1:6" s="163" customFormat="1" ht="12" customHeight="1">
      <c r="A41" s="13" t="s">
        <v>56</v>
      </c>
      <c r="B41" s="164" t="s">
        <v>183</v>
      </c>
      <c r="C41" s="89"/>
      <c r="D41" s="153"/>
      <c r="E41" s="235"/>
      <c r="F41" s="89"/>
    </row>
    <row r="42" spans="1:6" s="163" customFormat="1" ht="12" customHeight="1">
      <c r="A42" s="12" t="s">
        <v>57</v>
      </c>
      <c r="B42" s="165" t="s">
        <v>184</v>
      </c>
      <c r="C42" s="88">
        <v>23550431</v>
      </c>
      <c r="D42" s="754">
        <v>30536486</v>
      </c>
      <c r="E42" s="236">
        <v>36998185</v>
      </c>
      <c r="F42" s="88">
        <v>35711917</v>
      </c>
    </row>
    <row r="43" spans="1:6" s="163" customFormat="1" ht="12" customHeight="1">
      <c r="A43" s="12" t="s">
        <v>58</v>
      </c>
      <c r="B43" s="165" t="s">
        <v>185</v>
      </c>
      <c r="C43" s="88">
        <v>4016754</v>
      </c>
      <c r="D43" s="754">
        <v>3941940</v>
      </c>
      <c r="E43" s="236">
        <v>4056378</v>
      </c>
      <c r="F43" s="88">
        <v>3541312</v>
      </c>
    </row>
    <row r="44" spans="1:6" s="163" customFormat="1" ht="12" customHeight="1">
      <c r="A44" s="12" t="s">
        <v>115</v>
      </c>
      <c r="B44" s="165" t="s">
        <v>186</v>
      </c>
      <c r="C44" s="88">
        <v>16020746</v>
      </c>
      <c r="D44" s="754"/>
      <c r="E44" s="236">
        <v>1070817</v>
      </c>
      <c r="F44" s="88">
        <v>1070817</v>
      </c>
    </row>
    <row r="45" spans="1:6" s="163" customFormat="1" ht="12" customHeight="1">
      <c r="A45" s="12" t="s">
        <v>116</v>
      </c>
      <c r="B45" s="165" t="s">
        <v>187</v>
      </c>
      <c r="C45" s="88">
        <v>6057050</v>
      </c>
      <c r="D45" s="754">
        <v>8099425</v>
      </c>
      <c r="E45" s="236">
        <v>8099425</v>
      </c>
      <c r="F45" s="88">
        <v>6060793</v>
      </c>
    </row>
    <row r="46" spans="1:6" s="163" customFormat="1" ht="12" customHeight="1">
      <c r="A46" s="12" t="s">
        <v>117</v>
      </c>
      <c r="B46" s="165" t="s">
        <v>188</v>
      </c>
      <c r="C46" s="88">
        <v>9559377</v>
      </c>
      <c r="D46" s="754">
        <v>13087841</v>
      </c>
      <c r="E46" s="236">
        <v>15064872</v>
      </c>
      <c r="F46" s="88">
        <v>14401312</v>
      </c>
    </row>
    <row r="47" spans="1:6" s="163" customFormat="1" ht="12" customHeight="1">
      <c r="A47" s="12" t="s">
        <v>118</v>
      </c>
      <c r="B47" s="165" t="s">
        <v>189</v>
      </c>
      <c r="C47" s="88"/>
      <c r="D47" s="754"/>
      <c r="E47" s="236"/>
      <c r="F47" s="88"/>
    </row>
    <row r="48" spans="1:6" s="163" customFormat="1" ht="12" customHeight="1">
      <c r="A48" s="12" t="s">
        <v>119</v>
      </c>
      <c r="B48" s="165" t="s">
        <v>486</v>
      </c>
      <c r="C48" s="88">
        <v>409829</v>
      </c>
      <c r="D48" s="754">
        <v>50000</v>
      </c>
      <c r="E48" s="236">
        <v>10722470</v>
      </c>
      <c r="F48" s="88">
        <v>10672761</v>
      </c>
    </row>
    <row r="49" spans="1:6" s="163" customFormat="1" ht="12" customHeight="1">
      <c r="A49" s="12" t="s">
        <v>181</v>
      </c>
      <c r="B49" s="165" t="s">
        <v>191</v>
      </c>
      <c r="C49" s="91">
        <v>4129</v>
      </c>
      <c r="D49" s="155"/>
      <c r="E49" s="295">
        <v>6251</v>
      </c>
      <c r="F49" s="91">
        <v>6251</v>
      </c>
    </row>
    <row r="50" spans="1:6" s="163" customFormat="1" ht="12" customHeight="1">
      <c r="A50" s="14" t="s">
        <v>182</v>
      </c>
      <c r="B50" s="166" t="s">
        <v>336</v>
      </c>
      <c r="C50" s="92"/>
      <c r="D50" s="156"/>
      <c r="E50" s="296"/>
      <c r="F50" s="92"/>
    </row>
    <row r="51" spans="1:6" s="163" customFormat="1" ht="12" customHeight="1" thickBot="1">
      <c r="A51" s="14" t="s">
        <v>335</v>
      </c>
      <c r="B51" s="96" t="s">
        <v>192</v>
      </c>
      <c r="C51" s="92">
        <v>8721756</v>
      </c>
      <c r="D51" s="356"/>
      <c r="E51" s="296">
        <v>96803</v>
      </c>
      <c r="F51" s="92">
        <v>203620</v>
      </c>
    </row>
    <row r="52" spans="1:6" s="163" customFormat="1" ht="12" customHeight="1" thickBot="1">
      <c r="A52" s="18" t="s">
        <v>11</v>
      </c>
      <c r="B52" s="19" t="s">
        <v>193</v>
      </c>
      <c r="C52" s="151">
        <f>SUM(C53:C57)</f>
        <v>3649049</v>
      </c>
      <c r="D52" s="151">
        <f>SUM(D53:D57)</f>
        <v>18199964</v>
      </c>
      <c r="E52" s="234">
        <f>SUM(E53:E57)</f>
        <v>18200000</v>
      </c>
      <c r="F52" s="87">
        <f>SUM(F53:F57)</f>
        <v>18200000</v>
      </c>
    </row>
    <row r="53" spans="1:6" s="163" customFormat="1" ht="12" customHeight="1">
      <c r="A53" s="13" t="s">
        <v>59</v>
      </c>
      <c r="B53" s="164" t="s">
        <v>197</v>
      </c>
      <c r="C53" s="204"/>
      <c r="D53" s="204"/>
      <c r="E53" s="297"/>
      <c r="F53" s="93"/>
    </row>
    <row r="54" spans="1:6" s="163" customFormat="1" ht="12" customHeight="1">
      <c r="A54" s="12" t="s">
        <v>60</v>
      </c>
      <c r="B54" s="165" t="s">
        <v>198</v>
      </c>
      <c r="C54" s="91">
        <v>3641175</v>
      </c>
      <c r="D54" s="155">
        <v>18199964</v>
      </c>
      <c r="E54" s="295">
        <v>18200000</v>
      </c>
      <c r="F54" s="91">
        <v>18200000</v>
      </c>
    </row>
    <row r="55" spans="1:6" s="163" customFormat="1" ht="12" customHeight="1">
      <c r="A55" s="12" t="s">
        <v>194</v>
      </c>
      <c r="B55" s="165" t="s">
        <v>199</v>
      </c>
      <c r="C55" s="91">
        <v>7874</v>
      </c>
      <c r="D55" s="155"/>
      <c r="E55" s="295"/>
      <c r="F55" s="91"/>
    </row>
    <row r="56" spans="1:6" s="163" customFormat="1" ht="12" customHeight="1">
      <c r="A56" s="12" t="s">
        <v>195</v>
      </c>
      <c r="B56" s="165" t="s">
        <v>200</v>
      </c>
      <c r="C56" s="155"/>
      <c r="D56" s="155"/>
      <c r="E56" s="295"/>
      <c r="F56" s="91"/>
    </row>
    <row r="57" spans="1:6" s="163" customFormat="1" ht="12" customHeight="1" thickBot="1">
      <c r="A57" s="14" t="s">
        <v>196</v>
      </c>
      <c r="B57" s="96" t="s">
        <v>201</v>
      </c>
      <c r="C57" s="156"/>
      <c r="D57" s="156"/>
      <c r="E57" s="296"/>
      <c r="F57" s="92"/>
    </row>
    <row r="58" spans="1:6" s="163" customFormat="1" ht="13.5" thickBot="1">
      <c r="A58" s="18" t="s">
        <v>120</v>
      </c>
      <c r="B58" s="19" t="s">
        <v>202</v>
      </c>
      <c r="C58" s="151">
        <f>SUM(C59:C61)</f>
        <v>0</v>
      </c>
      <c r="D58" s="151">
        <f>SUM(D59:D61)</f>
        <v>0</v>
      </c>
      <c r="E58" s="234">
        <f>SUM(E59:E61)</f>
        <v>0</v>
      </c>
      <c r="F58" s="87">
        <f>SUM(F59:F61)</f>
        <v>0</v>
      </c>
    </row>
    <row r="59" spans="1:6" s="163" customFormat="1" ht="12.75">
      <c r="A59" s="13" t="s">
        <v>61</v>
      </c>
      <c r="B59" s="164" t="s">
        <v>203</v>
      </c>
      <c r="C59" s="153"/>
      <c r="D59" s="153"/>
      <c r="E59" s="235"/>
      <c r="F59" s="89"/>
    </row>
    <row r="60" spans="1:6" s="163" customFormat="1" ht="14.25" customHeight="1">
      <c r="A60" s="12" t="s">
        <v>62</v>
      </c>
      <c r="B60" s="165" t="s">
        <v>328</v>
      </c>
      <c r="C60" s="152"/>
      <c r="D60" s="152"/>
      <c r="E60" s="236"/>
      <c r="F60" s="88"/>
    </row>
    <row r="61" spans="1:6" s="163" customFormat="1" ht="12.75">
      <c r="A61" s="12" t="s">
        <v>206</v>
      </c>
      <c r="B61" s="165" t="s">
        <v>204</v>
      </c>
      <c r="C61" s="152"/>
      <c r="D61" s="152"/>
      <c r="E61" s="236"/>
      <c r="F61" s="88"/>
    </row>
    <row r="62" spans="1:6" s="163" customFormat="1" ht="13.5" thickBot="1">
      <c r="A62" s="14" t="s">
        <v>207</v>
      </c>
      <c r="B62" s="96" t="s">
        <v>205</v>
      </c>
      <c r="C62" s="154"/>
      <c r="D62" s="154"/>
      <c r="E62" s="237"/>
      <c r="F62" s="90"/>
    </row>
    <row r="63" spans="1:6" s="163" customFormat="1" ht="13.5" thickBot="1">
      <c r="A63" s="18" t="s">
        <v>13</v>
      </c>
      <c r="B63" s="94" t="s">
        <v>208</v>
      </c>
      <c r="C63" s="151">
        <f>SUM(C64:C66)</f>
        <v>4252031</v>
      </c>
      <c r="D63" s="151">
        <f>SUM(D64:D66)</f>
        <v>792559</v>
      </c>
      <c r="E63" s="234">
        <f>SUM(E64:E66)</f>
        <v>16469014</v>
      </c>
      <c r="F63" s="87">
        <f>SUM(F64:F66)</f>
        <v>16278514</v>
      </c>
    </row>
    <row r="64" spans="1:6" s="163" customFormat="1" ht="12.75">
      <c r="A64" s="13" t="s">
        <v>121</v>
      </c>
      <c r="B64" s="164" t="s">
        <v>210</v>
      </c>
      <c r="C64" s="155"/>
      <c r="D64" s="155"/>
      <c r="E64" s="295"/>
      <c r="F64" s="91"/>
    </row>
    <row r="65" spans="1:6" s="163" customFormat="1" ht="12.75" customHeight="1">
      <c r="A65" s="12" t="s">
        <v>122</v>
      </c>
      <c r="B65" s="165" t="s">
        <v>329</v>
      </c>
      <c r="C65" s="91">
        <v>4252031</v>
      </c>
      <c r="D65" s="155">
        <v>792559</v>
      </c>
      <c r="E65" s="295">
        <v>15969014</v>
      </c>
      <c r="F65" s="91">
        <v>15778514</v>
      </c>
    </row>
    <row r="66" spans="1:6" s="163" customFormat="1" ht="12.75">
      <c r="A66" s="12" t="s">
        <v>141</v>
      </c>
      <c r="B66" s="165" t="s">
        <v>211</v>
      </c>
      <c r="C66" s="155"/>
      <c r="D66" s="155"/>
      <c r="E66" s="295">
        <v>500000</v>
      </c>
      <c r="F66" s="91">
        <v>500000</v>
      </c>
    </row>
    <row r="67" spans="1:6" s="163" customFormat="1" ht="13.5" thickBot="1">
      <c r="A67" s="14" t="s">
        <v>209</v>
      </c>
      <c r="B67" s="96" t="s">
        <v>212</v>
      </c>
      <c r="C67" s="155"/>
      <c r="D67" s="155"/>
      <c r="E67" s="295"/>
      <c r="F67" s="91"/>
    </row>
    <row r="68" spans="1:6" s="163" customFormat="1" ht="13.5" thickBot="1">
      <c r="A68" s="214" t="s">
        <v>376</v>
      </c>
      <c r="B68" s="19" t="s">
        <v>213</v>
      </c>
      <c r="C68" s="157">
        <f>+C9+C17+C24+C31+C40+C52+C58+C63</f>
        <v>534094925</v>
      </c>
      <c r="D68" s="157">
        <f>+D9+D17+D24+D31+D40+D52+D58+D63</f>
        <v>380409502</v>
      </c>
      <c r="E68" s="238">
        <f>+E9+E17+E24+E31+E40+E52+E58+E63</f>
        <v>532641136</v>
      </c>
      <c r="F68" s="193">
        <f>+F9+F17+F24+F31+F40+F52+F58+F63</f>
        <v>527026825</v>
      </c>
    </row>
    <row r="69" spans="1:6" s="163" customFormat="1" ht="13.5" thickBot="1">
      <c r="A69" s="205" t="s">
        <v>214</v>
      </c>
      <c r="B69" s="94" t="s">
        <v>215</v>
      </c>
      <c r="C69" s="151">
        <f>SUM(C70:C72)</f>
        <v>0</v>
      </c>
      <c r="D69" s="151">
        <f>SUM(D70:D72)</f>
        <v>0</v>
      </c>
      <c r="E69" s="234">
        <f>SUM(E70:E72)</f>
        <v>0</v>
      </c>
      <c r="F69" s="87">
        <f>SUM(F70:F72)</f>
        <v>0</v>
      </c>
    </row>
    <row r="70" spans="1:6" s="163" customFormat="1" ht="12.75">
      <c r="A70" s="13" t="s">
        <v>243</v>
      </c>
      <c r="B70" s="164" t="s">
        <v>216</v>
      </c>
      <c r="C70" s="155"/>
      <c r="D70" s="155"/>
      <c r="E70" s="295"/>
      <c r="F70" s="91"/>
    </row>
    <row r="71" spans="1:6" s="163" customFormat="1" ht="12.75">
      <c r="A71" s="12" t="s">
        <v>252</v>
      </c>
      <c r="B71" s="165" t="s">
        <v>217</v>
      </c>
      <c r="C71" s="155"/>
      <c r="D71" s="155"/>
      <c r="E71" s="295"/>
      <c r="F71" s="91"/>
    </row>
    <row r="72" spans="1:6" s="163" customFormat="1" ht="13.5" thickBot="1">
      <c r="A72" s="14" t="s">
        <v>253</v>
      </c>
      <c r="B72" s="210" t="s">
        <v>361</v>
      </c>
      <c r="C72" s="155"/>
      <c r="D72" s="356"/>
      <c r="E72" s="295"/>
      <c r="F72" s="91"/>
    </row>
    <row r="73" spans="1:6" s="163" customFormat="1" ht="13.5" thickBot="1">
      <c r="A73" s="205" t="s">
        <v>219</v>
      </c>
      <c r="B73" s="94" t="s">
        <v>220</v>
      </c>
      <c r="C73" s="151">
        <f>SUM(C74:C77)</f>
        <v>0</v>
      </c>
      <c r="D73" s="151">
        <f>SUM(D74:D77)</f>
        <v>0</v>
      </c>
      <c r="E73" s="234">
        <f>SUM(E74:E77)</f>
        <v>0</v>
      </c>
      <c r="F73" s="87">
        <f>SUM(F74:F77)</f>
        <v>0</v>
      </c>
    </row>
    <row r="74" spans="1:6" s="163" customFormat="1" ht="12.75">
      <c r="A74" s="13" t="s">
        <v>99</v>
      </c>
      <c r="B74" s="338" t="s">
        <v>221</v>
      </c>
      <c r="C74" s="155"/>
      <c r="D74" s="155"/>
      <c r="E74" s="295"/>
      <c r="F74" s="91"/>
    </row>
    <row r="75" spans="1:6" s="163" customFormat="1" ht="12.75">
      <c r="A75" s="12" t="s">
        <v>100</v>
      </c>
      <c r="B75" s="338" t="s">
        <v>493</v>
      </c>
      <c r="C75" s="155"/>
      <c r="D75" s="155"/>
      <c r="E75" s="295"/>
      <c r="F75" s="91"/>
    </row>
    <row r="76" spans="1:6" s="163" customFormat="1" ht="12" customHeight="1">
      <c r="A76" s="12" t="s">
        <v>244</v>
      </c>
      <c r="B76" s="338" t="s">
        <v>222</v>
      </c>
      <c r="C76" s="155"/>
      <c r="D76" s="155"/>
      <c r="E76" s="295"/>
      <c r="F76" s="91"/>
    </row>
    <row r="77" spans="1:6" s="163" customFormat="1" ht="12" customHeight="1" thickBot="1">
      <c r="A77" s="14" t="s">
        <v>245</v>
      </c>
      <c r="B77" s="339" t="s">
        <v>494</v>
      </c>
      <c r="C77" s="155"/>
      <c r="D77" s="155"/>
      <c r="E77" s="295"/>
      <c r="F77" s="91"/>
    </row>
    <row r="78" spans="1:6" s="163" customFormat="1" ht="12" customHeight="1" thickBot="1">
      <c r="A78" s="205" t="s">
        <v>223</v>
      </c>
      <c r="B78" s="94" t="s">
        <v>224</v>
      </c>
      <c r="C78" s="151">
        <f>SUM(C79:C80)</f>
        <v>220376007</v>
      </c>
      <c r="D78" s="151">
        <f>SUM(D79:D80)</f>
        <v>235411766</v>
      </c>
      <c r="E78" s="234">
        <f>SUM(E79:E80)</f>
        <v>316649437</v>
      </c>
      <c r="F78" s="87">
        <f>SUM(F79:F80)</f>
        <v>316649437</v>
      </c>
    </row>
    <row r="79" spans="1:6" s="163" customFormat="1" ht="12" customHeight="1">
      <c r="A79" s="13" t="s">
        <v>246</v>
      </c>
      <c r="B79" s="164" t="s">
        <v>225</v>
      </c>
      <c r="C79" s="91">
        <v>220376007</v>
      </c>
      <c r="D79" s="155">
        <v>235411766</v>
      </c>
      <c r="E79" s="295">
        <v>316649437</v>
      </c>
      <c r="F79" s="91">
        <v>316649437</v>
      </c>
    </row>
    <row r="80" spans="1:6" s="163" customFormat="1" ht="12" customHeight="1" thickBot="1">
      <c r="A80" s="14" t="s">
        <v>247</v>
      </c>
      <c r="B80" s="96" t="s">
        <v>226</v>
      </c>
      <c r="C80" s="155"/>
      <c r="D80" s="155"/>
      <c r="E80" s="295"/>
      <c r="F80" s="91"/>
    </row>
    <row r="81" spans="1:6" s="163" customFormat="1" ht="12" customHeight="1" thickBot="1">
      <c r="A81" s="205" t="s">
        <v>227</v>
      </c>
      <c r="B81" s="94" t="s">
        <v>228</v>
      </c>
      <c r="C81" s="151">
        <f>SUM(C82:C84)</f>
        <v>5783769</v>
      </c>
      <c r="D81" s="151">
        <f>SUM(D82:D84)</f>
        <v>0</v>
      </c>
      <c r="E81" s="234">
        <f>SUM(E82:E84)</f>
        <v>4440354</v>
      </c>
      <c r="F81" s="87">
        <f>SUM(F82:F84)</f>
        <v>4440354</v>
      </c>
    </row>
    <row r="82" spans="1:6" s="163" customFormat="1" ht="12" customHeight="1">
      <c r="A82" s="13" t="s">
        <v>248</v>
      </c>
      <c r="B82" s="164" t="s">
        <v>229</v>
      </c>
      <c r="C82" s="91">
        <v>5783769</v>
      </c>
      <c r="D82" s="155"/>
      <c r="E82" s="295">
        <v>4440354</v>
      </c>
      <c r="F82" s="91">
        <v>4440354</v>
      </c>
    </row>
    <row r="83" spans="1:6" s="163" customFormat="1" ht="12" customHeight="1">
      <c r="A83" s="12" t="s">
        <v>249</v>
      </c>
      <c r="B83" s="165" t="s">
        <v>230</v>
      </c>
      <c r="C83" s="155"/>
      <c r="D83" s="155"/>
      <c r="E83" s="295"/>
      <c r="F83" s="91"/>
    </row>
    <row r="84" spans="1:6" s="163" customFormat="1" ht="12" customHeight="1" thickBot="1">
      <c r="A84" s="14" t="s">
        <v>250</v>
      </c>
      <c r="B84" s="96" t="s">
        <v>495</v>
      </c>
      <c r="C84" s="155"/>
      <c r="D84" s="155"/>
      <c r="E84" s="295"/>
      <c r="F84" s="91"/>
    </row>
    <row r="85" spans="1:6" s="163" customFormat="1" ht="12" customHeight="1" thickBot="1">
      <c r="A85" s="205" t="s">
        <v>231</v>
      </c>
      <c r="B85" s="94" t="s">
        <v>251</v>
      </c>
      <c r="C85" s="151">
        <f>SUM(C86:C89)</f>
        <v>0</v>
      </c>
      <c r="D85" s="151">
        <f>SUM(D86:D89)</f>
        <v>0</v>
      </c>
      <c r="E85" s="234">
        <f>SUM(E86:E89)</f>
        <v>0</v>
      </c>
      <c r="F85" s="87">
        <f>SUM(F86:F89)</f>
        <v>0</v>
      </c>
    </row>
    <row r="86" spans="1:6" s="163" customFormat="1" ht="12" customHeight="1">
      <c r="A86" s="168" t="s">
        <v>232</v>
      </c>
      <c r="B86" s="164" t="s">
        <v>233</v>
      </c>
      <c r="C86" s="155"/>
      <c r="D86" s="155"/>
      <c r="E86" s="295"/>
      <c r="F86" s="91"/>
    </row>
    <row r="87" spans="1:6" s="163" customFormat="1" ht="12" customHeight="1">
      <c r="A87" s="169" t="s">
        <v>234</v>
      </c>
      <c r="B87" s="165" t="s">
        <v>235</v>
      </c>
      <c r="C87" s="155"/>
      <c r="D87" s="155"/>
      <c r="E87" s="295"/>
      <c r="F87" s="91"/>
    </row>
    <row r="88" spans="1:6" s="163" customFormat="1" ht="12" customHeight="1">
      <c r="A88" s="169" t="s">
        <v>236</v>
      </c>
      <c r="B88" s="165" t="s">
        <v>237</v>
      </c>
      <c r="C88" s="155"/>
      <c r="D88" s="155"/>
      <c r="E88" s="295"/>
      <c r="F88" s="91"/>
    </row>
    <row r="89" spans="1:6" s="163" customFormat="1" ht="12" customHeight="1" thickBot="1">
      <c r="A89" s="170" t="s">
        <v>238</v>
      </c>
      <c r="B89" s="96" t="s">
        <v>239</v>
      </c>
      <c r="C89" s="155"/>
      <c r="D89" s="155"/>
      <c r="E89" s="295"/>
      <c r="F89" s="91"/>
    </row>
    <row r="90" spans="1:6" s="163" customFormat="1" ht="12" customHeight="1" thickBot="1">
      <c r="A90" s="205" t="s">
        <v>240</v>
      </c>
      <c r="B90" s="94" t="s">
        <v>375</v>
      </c>
      <c r="C90" s="656"/>
      <c r="D90" s="207"/>
      <c r="E90" s="752"/>
      <c r="F90" s="208"/>
    </row>
    <row r="91" spans="1:6" s="163" customFormat="1" ht="12" customHeight="1" thickBot="1">
      <c r="A91" s="205" t="s">
        <v>242</v>
      </c>
      <c r="B91" s="94" t="s">
        <v>241</v>
      </c>
      <c r="C91" s="207"/>
      <c r="D91" s="207"/>
      <c r="E91" s="752"/>
      <c r="F91" s="208"/>
    </row>
    <row r="92" spans="1:6" s="163" customFormat="1" ht="13.5" customHeight="1" thickBot="1">
      <c r="A92" s="205" t="s">
        <v>254</v>
      </c>
      <c r="B92" s="171" t="s">
        <v>378</v>
      </c>
      <c r="C92" s="157">
        <f>+C69+C73+C78+C81+C85+C91</f>
        <v>226159776</v>
      </c>
      <c r="D92" s="157">
        <f>+D69+D73+D78+D81+D85+D91+D90</f>
        <v>235411766</v>
      </c>
      <c r="E92" s="238">
        <f>+E69+E73+E78+E81+E85+E91+E90</f>
        <v>321089791</v>
      </c>
      <c r="F92" s="193">
        <f>+F69+F73+F78+F81+F85+F91+F90</f>
        <v>321089791</v>
      </c>
    </row>
    <row r="93" spans="1:6" s="163" customFormat="1" ht="12" customHeight="1" thickBot="1">
      <c r="A93" s="206" t="s">
        <v>377</v>
      </c>
      <c r="B93" s="172" t="s">
        <v>379</v>
      </c>
      <c r="C93" s="157">
        <f>+C68+C92</f>
        <v>760254701</v>
      </c>
      <c r="D93" s="157">
        <f>+D68+D92</f>
        <v>615821268</v>
      </c>
      <c r="E93" s="238">
        <f>+E68+E92</f>
        <v>853730927</v>
      </c>
      <c r="F93" s="193">
        <f>+F68+F92</f>
        <v>848116616</v>
      </c>
    </row>
    <row r="94" spans="1:6" ht="16.5" customHeight="1">
      <c r="A94" s="843" t="s">
        <v>34</v>
      </c>
      <c r="B94" s="843"/>
      <c r="C94" s="843"/>
      <c r="D94" s="843"/>
      <c r="E94" s="843"/>
      <c r="F94" s="843"/>
    </row>
    <row r="95" spans="1:6" s="173" customFormat="1" ht="16.5" customHeight="1" thickBot="1">
      <c r="A95" s="405" t="s">
        <v>102</v>
      </c>
      <c r="B95" s="405"/>
      <c r="C95" s="405"/>
      <c r="D95" s="405"/>
      <c r="E95" s="55"/>
      <c r="F95" s="55" t="str">
        <f>F5</f>
        <v>Forintban</v>
      </c>
    </row>
    <row r="96" spans="1:6" s="173" customFormat="1" ht="16.5" customHeight="1">
      <c r="A96" s="834" t="s">
        <v>51</v>
      </c>
      <c r="B96" s="836" t="s">
        <v>419</v>
      </c>
      <c r="C96" s="836" t="str">
        <f>+C6</f>
        <v>2020. évi tény</v>
      </c>
      <c r="D96" s="918" t="str">
        <f>+D6</f>
        <v>2021. évi</v>
      </c>
      <c r="E96" s="919"/>
      <c r="F96" s="920"/>
    </row>
    <row r="97" spans="1:6" ht="37.5" customHeight="1" thickBot="1">
      <c r="A97" s="835"/>
      <c r="B97" s="837"/>
      <c r="C97" s="837"/>
      <c r="D97" s="621" t="s">
        <v>453</v>
      </c>
      <c r="E97" s="230" t="s">
        <v>454</v>
      </c>
      <c r="F97" s="402" t="s">
        <v>444</v>
      </c>
    </row>
    <row r="98" spans="1:6" s="162" customFormat="1" ht="12" customHeight="1" thickBot="1">
      <c r="A98" s="24" t="s">
        <v>384</v>
      </c>
      <c r="B98" s="25" t="s">
        <v>385</v>
      </c>
      <c r="C98" s="25" t="s">
        <v>386</v>
      </c>
      <c r="D98" s="25" t="s">
        <v>388</v>
      </c>
      <c r="E98" s="25" t="s">
        <v>387</v>
      </c>
      <c r="F98" s="406" t="s">
        <v>389</v>
      </c>
    </row>
    <row r="99" spans="1:6" ht="12" customHeight="1" thickBot="1">
      <c r="A99" s="20" t="s">
        <v>6</v>
      </c>
      <c r="B99" s="23" t="s">
        <v>337</v>
      </c>
      <c r="C99" s="681">
        <f>SUM(C100:C104)</f>
        <v>385987953</v>
      </c>
      <c r="D99" s="150">
        <f>D100+D101+D102+D103+D104+D117</f>
        <v>489573995</v>
      </c>
      <c r="E99" s="680">
        <f>E100+E101+E102+E103+E104+E117</f>
        <v>656207005</v>
      </c>
      <c r="F99" s="217">
        <f>F100+F101+F102+F103+F104+F117</f>
        <v>426440773</v>
      </c>
    </row>
    <row r="100" spans="1:6" ht="12" customHeight="1">
      <c r="A100" s="15" t="s">
        <v>63</v>
      </c>
      <c r="B100" s="8" t="s">
        <v>35</v>
      </c>
      <c r="C100" s="218">
        <v>156444715</v>
      </c>
      <c r="D100" s="753">
        <v>185527125</v>
      </c>
      <c r="E100" s="724">
        <v>193943152</v>
      </c>
      <c r="F100" s="218">
        <v>163979023</v>
      </c>
    </row>
    <row r="101" spans="1:6" ht="12" customHeight="1">
      <c r="A101" s="12" t="s">
        <v>64</v>
      </c>
      <c r="B101" s="6" t="s">
        <v>123</v>
      </c>
      <c r="C101" s="88">
        <v>26653101</v>
      </c>
      <c r="D101" s="754">
        <v>31757894</v>
      </c>
      <c r="E101" s="236">
        <v>31476029</v>
      </c>
      <c r="F101" s="88">
        <v>25040334</v>
      </c>
    </row>
    <row r="102" spans="1:6" ht="12" customHeight="1">
      <c r="A102" s="12" t="s">
        <v>65</v>
      </c>
      <c r="B102" s="6" t="s">
        <v>91</v>
      </c>
      <c r="C102" s="90">
        <v>146335863</v>
      </c>
      <c r="D102" s="755">
        <v>193131439</v>
      </c>
      <c r="E102" s="237">
        <v>213808249</v>
      </c>
      <c r="F102" s="90">
        <v>168005320</v>
      </c>
    </row>
    <row r="103" spans="1:6" ht="12" customHeight="1">
      <c r="A103" s="12" t="s">
        <v>66</v>
      </c>
      <c r="B103" s="9" t="s">
        <v>124</v>
      </c>
      <c r="C103" s="90">
        <v>4543014</v>
      </c>
      <c r="D103" s="755">
        <v>5840000</v>
      </c>
      <c r="E103" s="237">
        <v>5840000</v>
      </c>
      <c r="F103" s="90">
        <v>3623347</v>
      </c>
    </row>
    <row r="104" spans="1:6" ht="12" customHeight="1">
      <c r="A104" s="12" t="s">
        <v>75</v>
      </c>
      <c r="B104" s="17" t="s">
        <v>125</v>
      </c>
      <c r="C104" s="90">
        <v>52011260</v>
      </c>
      <c r="D104" s="755">
        <v>53238537</v>
      </c>
      <c r="E104" s="237">
        <v>66526768</v>
      </c>
      <c r="F104" s="90">
        <v>65792749</v>
      </c>
    </row>
    <row r="105" spans="1:6" ht="12" customHeight="1">
      <c r="A105" s="12" t="s">
        <v>67</v>
      </c>
      <c r="B105" s="6" t="s">
        <v>342</v>
      </c>
      <c r="C105" s="90"/>
      <c r="D105" s="755"/>
      <c r="E105" s="237"/>
      <c r="F105" s="90"/>
    </row>
    <row r="106" spans="1:6" ht="12" customHeight="1">
      <c r="A106" s="12" t="s">
        <v>68</v>
      </c>
      <c r="B106" s="59" t="s">
        <v>341</v>
      </c>
      <c r="C106" s="90"/>
      <c r="D106" s="755"/>
      <c r="E106" s="237"/>
      <c r="F106" s="90"/>
    </row>
    <row r="107" spans="1:6" ht="12" customHeight="1">
      <c r="A107" s="12" t="s">
        <v>76</v>
      </c>
      <c r="B107" s="59" t="s">
        <v>340</v>
      </c>
      <c r="C107" s="90"/>
      <c r="D107" s="755">
        <v>5706888</v>
      </c>
      <c r="E107" s="237">
        <v>5892108</v>
      </c>
      <c r="F107" s="90">
        <v>5892108</v>
      </c>
    </row>
    <row r="108" spans="1:6" ht="12" customHeight="1">
      <c r="A108" s="12" t="s">
        <v>77</v>
      </c>
      <c r="B108" s="57" t="s">
        <v>257</v>
      </c>
      <c r="C108" s="90"/>
      <c r="D108" s="755"/>
      <c r="E108" s="237"/>
      <c r="F108" s="90"/>
    </row>
    <row r="109" spans="1:6" ht="12" customHeight="1">
      <c r="A109" s="12" t="s">
        <v>78</v>
      </c>
      <c r="B109" s="58" t="s">
        <v>258</v>
      </c>
      <c r="C109" s="90"/>
      <c r="D109" s="755"/>
      <c r="E109" s="237"/>
      <c r="F109" s="90"/>
    </row>
    <row r="110" spans="1:6" ht="12" customHeight="1">
      <c r="A110" s="12" t="s">
        <v>79</v>
      </c>
      <c r="B110" s="58" t="s">
        <v>259</v>
      </c>
      <c r="C110" s="90"/>
      <c r="D110" s="755"/>
      <c r="E110" s="237"/>
      <c r="F110" s="90"/>
    </row>
    <row r="111" spans="1:6" ht="12" customHeight="1">
      <c r="A111" s="12" t="s">
        <v>81</v>
      </c>
      <c r="B111" s="57" t="s">
        <v>260</v>
      </c>
      <c r="C111" s="90">
        <v>46244560</v>
      </c>
      <c r="D111" s="755">
        <v>45252464</v>
      </c>
      <c r="E111" s="237">
        <v>45605175</v>
      </c>
      <c r="F111" s="90">
        <v>45500540</v>
      </c>
    </row>
    <row r="112" spans="1:6" ht="12" customHeight="1">
      <c r="A112" s="12" t="s">
        <v>126</v>
      </c>
      <c r="B112" s="57" t="s">
        <v>261</v>
      </c>
      <c r="C112" s="90"/>
      <c r="D112" s="755"/>
      <c r="E112" s="237"/>
      <c r="F112" s="90"/>
    </row>
    <row r="113" spans="1:6" ht="12" customHeight="1">
      <c r="A113" s="12" t="s">
        <v>255</v>
      </c>
      <c r="B113" s="58" t="s">
        <v>262</v>
      </c>
      <c r="C113" s="90"/>
      <c r="D113" s="755"/>
      <c r="E113" s="237"/>
      <c r="F113" s="90"/>
    </row>
    <row r="114" spans="1:6" ht="12" customHeight="1">
      <c r="A114" s="11" t="s">
        <v>256</v>
      </c>
      <c r="B114" s="59" t="s">
        <v>263</v>
      </c>
      <c r="C114" s="90"/>
      <c r="D114" s="755"/>
      <c r="E114" s="237"/>
      <c r="F114" s="90"/>
    </row>
    <row r="115" spans="1:6" ht="12" customHeight="1">
      <c r="A115" s="12" t="s">
        <v>338</v>
      </c>
      <c r="B115" s="59" t="s">
        <v>264</v>
      </c>
      <c r="C115" s="90"/>
      <c r="D115" s="755"/>
      <c r="E115" s="237"/>
      <c r="F115" s="90"/>
    </row>
    <row r="116" spans="1:6" ht="12" customHeight="1">
      <c r="A116" s="14" t="s">
        <v>339</v>
      </c>
      <c r="B116" s="59" t="s">
        <v>265</v>
      </c>
      <c r="C116" s="90">
        <v>5766700</v>
      </c>
      <c r="D116" s="755">
        <v>2279185</v>
      </c>
      <c r="E116" s="237">
        <v>15029485</v>
      </c>
      <c r="F116" s="90">
        <v>14400101</v>
      </c>
    </row>
    <row r="117" spans="1:6" ht="12" customHeight="1">
      <c r="A117" s="12" t="s">
        <v>343</v>
      </c>
      <c r="B117" s="9" t="s">
        <v>36</v>
      </c>
      <c r="C117" s="152"/>
      <c r="D117" s="754">
        <v>20079000</v>
      </c>
      <c r="E117" s="236">
        <v>144612807</v>
      </c>
      <c r="F117" s="88"/>
    </row>
    <row r="118" spans="1:6" ht="12" customHeight="1">
      <c r="A118" s="12" t="s">
        <v>344</v>
      </c>
      <c r="B118" s="6" t="s">
        <v>346</v>
      </c>
      <c r="C118" s="152"/>
      <c r="D118" s="754">
        <v>12665713</v>
      </c>
      <c r="E118" s="236">
        <v>137199520</v>
      </c>
      <c r="F118" s="88"/>
    </row>
    <row r="119" spans="1:6" ht="12" customHeight="1" thickBot="1">
      <c r="A119" s="16" t="s">
        <v>345</v>
      </c>
      <c r="B119" s="213" t="s">
        <v>347</v>
      </c>
      <c r="C119" s="154"/>
      <c r="D119" s="756">
        <v>7413287</v>
      </c>
      <c r="E119" s="301">
        <v>7413287</v>
      </c>
      <c r="F119" s="219"/>
    </row>
    <row r="120" spans="1:6" ht="12" customHeight="1" thickBot="1">
      <c r="A120" s="211" t="s">
        <v>7</v>
      </c>
      <c r="B120" s="212" t="s">
        <v>266</v>
      </c>
      <c r="C120" s="583">
        <f>+C121+C123+C125</f>
        <v>52151388</v>
      </c>
      <c r="D120" s="226">
        <f>+D121+D123+D125</f>
        <v>121870329</v>
      </c>
      <c r="E120" s="234">
        <f>+E121+E123+E125</f>
        <v>193146978</v>
      </c>
      <c r="F120" s="220">
        <f>+F121+F123+F125</f>
        <v>150585277</v>
      </c>
    </row>
    <row r="121" spans="1:6" ht="12" customHeight="1">
      <c r="A121" s="13" t="s">
        <v>69</v>
      </c>
      <c r="B121" s="6" t="s">
        <v>140</v>
      </c>
      <c r="C121" s="89">
        <v>42411318</v>
      </c>
      <c r="D121" s="757">
        <v>110634329</v>
      </c>
      <c r="E121" s="235">
        <v>137286229</v>
      </c>
      <c r="F121" s="89">
        <v>112623429</v>
      </c>
    </row>
    <row r="122" spans="1:6" ht="12" customHeight="1">
      <c r="A122" s="13" t="s">
        <v>70</v>
      </c>
      <c r="B122" s="10" t="s">
        <v>270</v>
      </c>
      <c r="C122" s="89"/>
      <c r="D122" s="757">
        <v>23112825</v>
      </c>
      <c r="E122" s="235">
        <v>23112825</v>
      </c>
      <c r="F122" s="89">
        <v>22950066</v>
      </c>
    </row>
    <row r="123" spans="1:6" ht="15.75">
      <c r="A123" s="13" t="s">
        <v>71</v>
      </c>
      <c r="B123" s="10" t="s">
        <v>127</v>
      </c>
      <c r="C123" s="88">
        <v>9712931</v>
      </c>
      <c r="D123" s="754">
        <v>9236000</v>
      </c>
      <c r="E123" s="236">
        <v>53860749</v>
      </c>
      <c r="F123" s="88">
        <v>37961848</v>
      </c>
    </row>
    <row r="124" spans="1:6" ht="12" customHeight="1">
      <c r="A124" s="13" t="s">
        <v>72</v>
      </c>
      <c r="B124" s="10" t="s">
        <v>271</v>
      </c>
      <c r="C124" s="88"/>
      <c r="D124" s="754"/>
      <c r="E124" s="236"/>
      <c r="F124" s="88"/>
    </row>
    <row r="125" spans="1:6" ht="12" customHeight="1">
      <c r="A125" s="13" t="s">
        <v>73</v>
      </c>
      <c r="B125" s="96" t="s">
        <v>142</v>
      </c>
      <c r="C125" s="88">
        <v>27139</v>
      </c>
      <c r="D125" s="754">
        <v>2000000</v>
      </c>
      <c r="E125" s="236">
        <v>2000000</v>
      </c>
      <c r="F125" s="88"/>
    </row>
    <row r="126" spans="1:6" ht="15.75">
      <c r="A126" s="13" t="s">
        <v>80</v>
      </c>
      <c r="B126" s="95" t="s">
        <v>330</v>
      </c>
      <c r="C126" s="88"/>
      <c r="D126" s="754"/>
      <c r="E126" s="236"/>
      <c r="F126" s="88"/>
    </row>
    <row r="127" spans="1:6" ht="15.75">
      <c r="A127" s="13" t="s">
        <v>82</v>
      </c>
      <c r="B127" s="160" t="s">
        <v>276</v>
      </c>
      <c r="C127" s="88"/>
      <c r="D127" s="754"/>
      <c r="E127" s="236"/>
      <c r="F127" s="88"/>
    </row>
    <row r="128" spans="1:6" ht="12" customHeight="1">
      <c r="A128" s="13" t="s">
        <v>128</v>
      </c>
      <c r="B128" s="58" t="s">
        <v>259</v>
      </c>
      <c r="C128" s="88"/>
      <c r="D128" s="754"/>
      <c r="E128" s="236"/>
      <c r="F128" s="88"/>
    </row>
    <row r="129" spans="1:6" ht="12" customHeight="1">
      <c r="A129" s="13" t="s">
        <v>129</v>
      </c>
      <c r="B129" s="58" t="s">
        <v>275</v>
      </c>
      <c r="C129" s="88"/>
      <c r="D129" s="754"/>
      <c r="E129" s="236"/>
      <c r="F129" s="88"/>
    </row>
    <row r="130" spans="1:6" ht="12" customHeight="1">
      <c r="A130" s="13" t="s">
        <v>130</v>
      </c>
      <c r="B130" s="58" t="s">
        <v>274</v>
      </c>
      <c r="C130" s="88"/>
      <c r="D130" s="754"/>
      <c r="E130" s="236"/>
      <c r="F130" s="88"/>
    </row>
    <row r="131" spans="1:6" s="407" customFormat="1" ht="12" customHeight="1">
      <c r="A131" s="13" t="s">
        <v>267</v>
      </c>
      <c r="B131" s="58" t="s">
        <v>262</v>
      </c>
      <c r="C131" s="88">
        <v>0</v>
      </c>
      <c r="D131" s="754">
        <v>2000000</v>
      </c>
      <c r="E131" s="236">
        <v>2000000</v>
      </c>
      <c r="F131" s="88"/>
    </row>
    <row r="132" spans="1:6" ht="12" customHeight="1">
      <c r="A132" s="13" t="s">
        <v>268</v>
      </c>
      <c r="B132" s="58" t="s">
        <v>273</v>
      </c>
      <c r="C132" s="88"/>
      <c r="D132" s="152"/>
      <c r="E132" s="236"/>
      <c r="F132" s="88"/>
    </row>
    <row r="133" spans="1:6" ht="12" customHeight="1" thickBot="1">
      <c r="A133" s="11" t="s">
        <v>269</v>
      </c>
      <c r="B133" s="58" t="s">
        <v>272</v>
      </c>
      <c r="C133" s="90">
        <v>27139</v>
      </c>
      <c r="D133" s="154"/>
      <c r="E133" s="237"/>
      <c r="F133" s="90"/>
    </row>
    <row r="134" spans="1:6" ht="12" customHeight="1" thickBot="1">
      <c r="A134" s="18" t="s">
        <v>8</v>
      </c>
      <c r="B134" s="51" t="s">
        <v>348</v>
      </c>
      <c r="C134" s="151">
        <f>+C99+C120</f>
        <v>438139341</v>
      </c>
      <c r="D134" s="151">
        <f>+D99+D120</f>
        <v>611444324</v>
      </c>
      <c r="E134" s="234">
        <f>+E99+E120</f>
        <v>849353983</v>
      </c>
      <c r="F134" s="87">
        <f>+F99+F120</f>
        <v>577026050</v>
      </c>
    </row>
    <row r="135" spans="1:6" ht="12" customHeight="1" thickBot="1">
      <c r="A135" s="18" t="s">
        <v>9</v>
      </c>
      <c r="B135" s="51" t="s">
        <v>420</v>
      </c>
      <c r="C135" s="763"/>
      <c r="D135" s="151">
        <f>+D136+D137+D138</f>
        <v>0</v>
      </c>
      <c r="E135" s="234">
        <f>+E136+E137+E138</f>
        <v>0</v>
      </c>
      <c r="F135" s="87">
        <f>+F136+F137+F138</f>
        <v>0</v>
      </c>
    </row>
    <row r="136" spans="1:6" ht="12" customHeight="1">
      <c r="A136" s="13" t="s">
        <v>174</v>
      </c>
      <c r="B136" s="10" t="s">
        <v>356</v>
      </c>
      <c r="C136" s="654"/>
      <c r="D136" s="152"/>
      <c r="E136" s="236"/>
      <c r="F136" s="88"/>
    </row>
    <row r="137" spans="1:6" ht="12" customHeight="1">
      <c r="A137" s="13" t="s">
        <v>175</v>
      </c>
      <c r="B137" s="10" t="s">
        <v>357</v>
      </c>
      <c r="C137" s="762">
        <f>+C99+C120+C134</f>
        <v>876278682</v>
      </c>
      <c r="D137" s="152"/>
      <c r="E137" s="236"/>
      <c r="F137" s="88"/>
    </row>
    <row r="138" spans="1:6" ht="12" customHeight="1" thickBot="1">
      <c r="A138" s="11" t="s">
        <v>176</v>
      </c>
      <c r="B138" s="10" t="s">
        <v>358</v>
      </c>
      <c r="C138" s="764">
        <f>+C139+C140+C141</f>
        <v>0</v>
      </c>
      <c r="D138" s="152"/>
      <c r="E138" s="236"/>
      <c r="F138" s="88"/>
    </row>
    <row r="139" spans="1:6" ht="12" customHeight="1" thickBot="1">
      <c r="A139" s="18" t="s">
        <v>10</v>
      </c>
      <c r="B139" s="51" t="s">
        <v>350</v>
      </c>
      <c r="C139" s="763"/>
      <c r="D139" s="151">
        <f>SUM(D140:D145)</f>
        <v>0</v>
      </c>
      <c r="E139" s="234">
        <f>SUM(E140:E145)</f>
        <v>0</v>
      </c>
      <c r="F139" s="87">
        <f>SUM(F140:F145)</f>
        <v>0</v>
      </c>
    </row>
    <row r="140" spans="1:6" ht="12" customHeight="1">
      <c r="A140" s="13" t="s">
        <v>56</v>
      </c>
      <c r="B140" s="7" t="s">
        <v>359</v>
      </c>
      <c r="C140" s="153"/>
      <c r="D140" s="152"/>
      <c r="E140" s="236"/>
      <c r="F140" s="88"/>
    </row>
    <row r="141" spans="1:6" ht="12" customHeight="1">
      <c r="A141" s="13" t="s">
        <v>57</v>
      </c>
      <c r="B141" s="7" t="s">
        <v>351</v>
      </c>
      <c r="C141" s="152"/>
      <c r="D141" s="152"/>
      <c r="E141" s="236"/>
      <c r="F141" s="88"/>
    </row>
    <row r="142" spans="1:6" ht="12" customHeight="1">
      <c r="A142" s="13" t="s">
        <v>58</v>
      </c>
      <c r="B142" s="7" t="s">
        <v>352</v>
      </c>
      <c r="C142" s="762">
        <f>+C143+C144+C145+C146</f>
        <v>5465923</v>
      </c>
      <c r="D142" s="152"/>
      <c r="E142" s="236"/>
      <c r="F142" s="88"/>
    </row>
    <row r="143" spans="1:6" ht="12" customHeight="1">
      <c r="A143" s="13" t="s">
        <v>115</v>
      </c>
      <c r="B143" s="7" t="s">
        <v>353</v>
      </c>
      <c r="C143" s="152"/>
      <c r="D143" s="152"/>
      <c r="E143" s="236"/>
      <c r="F143" s="88"/>
    </row>
    <row r="144" spans="1:6" ht="12" customHeight="1">
      <c r="A144" s="13" t="s">
        <v>116</v>
      </c>
      <c r="B144" s="7" t="s">
        <v>354</v>
      </c>
      <c r="C144" s="152"/>
      <c r="D144" s="152"/>
      <c r="E144" s="236"/>
      <c r="F144" s="88"/>
    </row>
    <row r="145" spans="1:6" ht="12" customHeight="1" thickBot="1">
      <c r="A145" s="16" t="s">
        <v>117</v>
      </c>
      <c r="B145" s="350" t="s">
        <v>355</v>
      </c>
      <c r="C145" s="154"/>
      <c r="D145" s="152"/>
      <c r="E145" s="301"/>
      <c r="F145" s="219"/>
    </row>
    <row r="146" spans="1:6" ht="12" customHeight="1" thickBot="1">
      <c r="A146" s="18" t="s">
        <v>11</v>
      </c>
      <c r="B146" s="51" t="s">
        <v>363</v>
      </c>
      <c r="C146" s="157">
        <f>+C147+C148+C149+C150</f>
        <v>5465923</v>
      </c>
      <c r="D146" s="157">
        <f>+D147+D148+D149+D150</f>
        <v>4376944</v>
      </c>
      <c r="E146" s="238">
        <f>+E147+E148+E149+E150</f>
        <v>4376944</v>
      </c>
      <c r="F146" s="193">
        <f>+F147+F148+F149+F150</f>
        <v>4376944</v>
      </c>
    </row>
    <row r="147" spans="1:6" ht="12" customHeight="1">
      <c r="A147" s="13" t="s">
        <v>59</v>
      </c>
      <c r="B147" s="7" t="s">
        <v>277</v>
      </c>
      <c r="C147" s="765"/>
      <c r="D147" s="152"/>
      <c r="E147" s="236"/>
      <c r="F147" s="88"/>
    </row>
    <row r="148" spans="1:6" ht="12" customHeight="1">
      <c r="A148" s="13" t="s">
        <v>60</v>
      </c>
      <c r="B148" s="7" t="s">
        <v>278</v>
      </c>
      <c r="C148" s="88">
        <v>5465923</v>
      </c>
      <c r="D148" s="152">
        <v>4376944</v>
      </c>
      <c r="E148" s="236">
        <v>4376944</v>
      </c>
      <c r="F148" s="88">
        <v>4376944</v>
      </c>
    </row>
    <row r="149" spans="1:6" ht="12" customHeight="1">
      <c r="A149" s="13" t="s">
        <v>194</v>
      </c>
      <c r="B149" s="7" t="s">
        <v>364</v>
      </c>
      <c r="C149" s="152"/>
      <c r="D149" s="152"/>
      <c r="E149" s="236"/>
      <c r="F149" s="88"/>
    </row>
    <row r="150" spans="1:6" ht="12" customHeight="1" thickBot="1">
      <c r="A150" s="11" t="s">
        <v>195</v>
      </c>
      <c r="B150" s="5" t="s">
        <v>294</v>
      </c>
      <c r="C150" s="154"/>
      <c r="D150" s="152"/>
      <c r="E150" s="236"/>
      <c r="F150" s="88"/>
    </row>
    <row r="151" spans="1:6" ht="12" customHeight="1" thickBot="1">
      <c r="A151" s="18" t="s">
        <v>12</v>
      </c>
      <c r="B151" s="51" t="s">
        <v>365</v>
      </c>
      <c r="C151" s="763"/>
      <c r="D151" s="227">
        <f>SUM(D152:D156)</f>
        <v>0</v>
      </c>
      <c r="E151" s="239">
        <f>SUM(E152:E156)</f>
        <v>0</v>
      </c>
      <c r="F151" s="221">
        <f>SUM(F152:F156)</f>
        <v>0</v>
      </c>
    </row>
    <row r="152" spans="1:6" ht="15" customHeight="1">
      <c r="A152" s="13" t="s">
        <v>61</v>
      </c>
      <c r="B152" s="7" t="s">
        <v>360</v>
      </c>
      <c r="C152" s="766">
        <f>+C153+C154+C155+C156</f>
        <v>0</v>
      </c>
      <c r="D152" s="152"/>
      <c r="E152" s="236"/>
      <c r="F152" s="88"/>
    </row>
    <row r="153" spans="1:6" s="163" customFormat="1" ht="12.75" customHeight="1">
      <c r="A153" s="13" t="s">
        <v>62</v>
      </c>
      <c r="B153" s="7" t="s">
        <v>367</v>
      </c>
      <c r="C153" s="152"/>
      <c r="D153" s="152"/>
      <c r="E153" s="236"/>
      <c r="F153" s="88"/>
    </row>
    <row r="154" spans="1:6" ht="13.5" customHeight="1">
      <c r="A154" s="13" t="s">
        <v>206</v>
      </c>
      <c r="B154" s="7" t="s">
        <v>362</v>
      </c>
      <c r="C154" s="152"/>
      <c r="D154" s="152"/>
      <c r="E154" s="236"/>
      <c r="F154" s="88"/>
    </row>
    <row r="155" spans="1:6" ht="13.5" customHeight="1">
      <c r="A155" s="13" t="s">
        <v>207</v>
      </c>
      <c r="B155" s="7" t="s">
        <v>368</v>
      </c>
      <c r="C155" s="152"/>
      <c r="D155" s="152"/>
      <c r="E155" s="236"/>
      <c r="F155" s="88"/>
    </row>
    <row r="156" spans="1:6" ht="13.5" customHeight="1" thickBot="1">
      <c r="A156" s="13" t="s">
        <v>366</v>
      </c>
      <c r="B156" s="7" t="s">
        <v>369</v>
      </c>
      <c r="C156" s="154"/>
      <c r="D156" s="152"/>
      <c r="E156" s="236"/>
      <c r="F156" s="88"/>
    </row>
    <row r="157" spans="1:6" ht="12.75" customHeight="1" thickBot="1">
      <c r="A157" s="18" t="s">
        <v>13</v>
      </c>
      <c r="B157" s="51" t="s">
        <v>370</v>
      </c>
      <c r="C157" s="767">
        <v>0</v>
      </c>
      <c r="D157" s="228"/>
      <c r="E157" s="240"/>
      <c r="F157" s="222"/>
    </row>
    <row r="158" spans="1:6" ht="13.5" customHeight="1" thickBot="1">
      <c r="A158" s="18" t="s">
        <v>14</v>
      </c>
      <c r="B158" s="51" t="s">
        <v>371</v>
      </c>
      <c r="C158" s="768">
        <v>0</v>
      </c>
      <c r="D158" s="228"/>
      <c r="E158" s="240"/>
      <c r="F158" s="222"/>
    </row>
    <row r="159" spans="1:6" ht="13.5" customHeight="1" thickBot="1">
      <c r="A159" s="18" t="s">
        <v>15</v>
      </c>
      <c r="B159" s="51" t="s">
        <v>373</v>
      </c>
      <c r="C159" s="229">
        <f>+C135+C139+C146+C151+C157+C158</f>
        <v>5465923</v>
      </c>
      <c r="D159" s="229">
        <f>+D135+D139+D146+D151+D157+D158</f>
        <v>4376944</v>
      </c>
      <c r="E159" s="241">
        <f>+E135+E139+E146+E151+E157+E158</f>
        <v>4376944</v>
      </c>
      <c r="F159" s="223">
        <f>+F135+F139+F146+F151+F157+F158</f>
        <v>4376944</v>
      </c>
    </row>
    <row r="160" spans="1:6" ht="13.5" customHeight="1" thickBot="1">
      <c r="A160" s="97" t="s">
        <v>16</v>
      </c>
      <c r="B160" s="138" t="s">
        <v>372</v>
      </c>
      <c r="C160" s="229">
        <f>+C134+C159</f>
        <v>443605264</v>
      </c>
      <c r="D160" s="229">
        <f>+D134+D159</f>
        <v>615821268</v>
      </c>
      <c r="E160" s="241">
        <f>+E134+E159</f>
        <v>853730927</v>
      </c>
      <c r="F160" s="223">
        <f>+F134+F159</f>
        <v>581402994</v>
      </c>
    </row>
    <row r="161" ht="7.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</sheetData>
  <sheetProtection/>
  <mergeCells count="13">
    <mergeCell ref="D6:F6"/>
    <mergeCell ref="B6:B7"/>
    <mergeCell ref="C6:C7"/>
    <mergeCell ref="A94:F94"/>
    <mergeCell ref="A96:A97"/>
    <mergeCell ref="B96:B97"/>
    <mergeCell ref="C96:C97"/>
    <mergeCell ref="D96:F96"/>
    <mergeCell ref="A1:F1"/>
    <mergeCell ref="A2:F2"/>
    <mergeCell ref="A3:F3"/>
    <mergeCell ref="A4:F4"/>
    <mergeCell ref="A6:A7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64" r:id="rId1"/>
  <rowBreaks count="1" manualBreakCount="1">
    <brk id="93" max="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BreakPreview" zoomScale="60" zoomScaleNormal="120" workbookViewId="0" topLeftCell="A1">
      <selection activeCell="H16" sqref="H16"/>
    </sheetView>
  </sheetViews>
  <sheetFormatPr defaultColWidth="9.00390625" defaultRowHeight="12.75"/>
  <cols>
    <col min="1" max="1" width="6.875" style="27" customWidth="1"/>
    <col min="2" max="2" width="50.375" style="26" customWidth="1"/>
    <col min="3" max="4" width="12.875" style="26" customWidth="1"/>
    <col min="5" max="5" width="14.875" style="26" customWidth="1"/>
    <col min="6" max="6" width="13.875" style="26" customWidth="1"/>
    <col min="7" max="7" width="15.50390625" style="26" customWidth="1"/>
    <col min="8" max="8" width="16.875" style="26" customWidth="1"/>
    <col min="9" max="9" width="5.625" style="26" customWidth="1"/>
    <col min="10" max="16384" width="9.375" style="26" customWidth="1"/>
  </cols>
  <sheetData>
    <row r="1" spans="1:8" ht="17.25" customHeight="1">
      <c r="A1" s="851" t="s">
        <v>596</v>
      </c>
      <c r="B1" s="926"/>
      <c r="C1" s="926"/>
      <c r="D1" s="926"/>
      <c r="E1" s="926"/>
      <c r="F1" s="926"/>
      <c r="G1" s="926"/>
      <c r="H1" s="926"/>
    </row>
    <row r="2" spans="1:8" ht="12.75">
      <c r="A2" s="374"/>
      <c r="B2" s="375"/>
      <c r="C2" s="375"/>
      <c r="D2" s="375"/>
      <c r="E2" s="375"/>
      <c r="F2" s="375"/>
      <c r="G2" s="375"/>
      <c r="H2" s="375"/>
    </row>
    <row r="3" spans="1:9" s="410" customFormat="1" ht="15.75" thickBot="1">
      <c r="A3" s="509"/>
      <c r="B3" s="373"/>
      <c r="C3" s="373"/>
      <c r="D3" s="373"/>
      <c r="E3" s="373"/>
      <c r="F3" s="373"/>
      <c r="G3" s="373"/>
      <c r="H3" s="383" t="s">
        <v>597</v>
      </c>
      <c r="I3" s="927" t="str">
        <f>CONCATENATE("25. melléklet ",Z_ALAPADATOK!A7," ",Z_ALAPADATOK!B7," ",Z_ALAPADATOK!C7," ",Z_ALAPADATOK!D7," ",Z_ALAPADATOK!E7," ",Z_ALAPADATOK!F7," ",Z_ALAPADATOK!G7," ",Z_ALAPADATOK!H7)</f>
        <v>25. melléklet a 3 / 2022. ( V. 26. ) önkormányzati rendelethez</v>
      </c>
    </row>
    <row r="4" spans="1:9" s="408" customFormat="1" ht="26.25" customHeight="1">
      <c r="A4" s="928" t="s">
        <v>51</v>
      </c>
      <c r="B4" s="930" t="s">
        <v>508</v>
      </c>
      <c r="C4" s="928" t="s">
        <v>509</v>
      </c>
      <c r="D4" s="928" t="s">
        <v>510</v>
      </c>
      <c r="E4" s="932" t="s">
        <v>733</v>
      </c>
      <c r="F4" s="934" t="s">
        <v>511</v>
      </c>
      <c r="G4" s="935"/>
      <c r="H4" s="936" t="s">
        <v>735</v>
      </c>
      <c r="I4" s="927"/>
    </row>
    <row r="5" spans="1:9" s="409" customFormat="1" ht="40.5" customHeight="1" thickBot="1">
      <c r="A5" s="929"/>
      <c r="B5" s="931"/>
      <c r="C5" s="931"/>
      <c r="D5" s="929"/>
      <c r="E5" s="933"/>
      <c r="F5" s="510" t="s">
        <v>676</v>
      </c>
      <c r="G5" s="511" t="s">
        <v>734</v>
      </c>
      <c r="H5" s="937"/>
      <c r="I5" s="927"/>
    </row>
    <row r="6" spans="1:9" s="411" customFormat="1" ht="12.75" customHeight="1" thickBot="1">
      <c r="A6" s="512" t="s">
        <v>384</v>
      </c>
      <c r="B6" s="513" t="s">
        <v>385</v>
      </c>
      <c r="C6" s="513" t="s">
        <v>386</v>
      </c>
      <c r="D6" s="514" t="s">
        <v>388</v>
      </c>
      <c r="E6" s="512" t="s">
        <v>387</v>
      </c>
      <c r="F6" s="514" t="s">
        <v>389</v>
      </c>
      <c r="G6" s="514" t="s">
        <v>390</v>
      </c>
      <c r="H6" s="344" t="s">
        <v>391</v>
      </c>
      <c r="I6" s="927"/>
    </row>
    <row r="7" spans="1:9" ht="22.5" customHeight="1" thickBot="1">
      <c r="A7" s="412" t="s">
        <v>6</v>
      </c>
      <c r="B7" s="413" t="s">
        <v>512</v>
      </c>
      <c r="C7" s="414"/>
      <c r="D7" s="415"/>
      <c r="E7" s="416">
        <f>SUM(E8:E13)</f>
        <v>1366300</v>
      </c>
      <c r="F7" s="417">
        <f>SUM(F8:F13)</f>
        <v>1049500</v>
      </c>
      <c r="G7" s="417">
        <f>SUM(G8:G13)</f>
        <v>735500</v>
      </c>
      <c r="H7" s="418">
        <f>SUM(H8:H13)</f>
        <v>451100</v>
      </c>
      <c r="I7" s="927"/>
    </row>
    <row r="8" spans="1:9" ht="22.5" customHeight="1">
      <c r="A8" s="419" t="s">
        <v>7</v>
      </c>
      <c r="B8" s="420" t="s">
        <v>677</v>
      </c>
      <c r="C8" s="623">
        <v>2017</v>
      </c>
      <c r="D8" s="624">
        <v>2024</v>
      </c>
      <c r="E8" s="422">
        <v>187200</v>
      </c>
      <c r="F8" s="21">
        <v>124800</v>
      </c>
      <c r="G8" s="21">
        <v>62400</v>
      </c>
      <c r="H8" s="423"/>
      <c r="I8" s="927"/>
    </row>
    <row r="9" spans="1:9" ht="22.5" customHeight="1">
      <c r="A9" s="419" t="s">
        <v>8</v>
      </c>
      <c r="B9" s="420" t="s">
        <v>677</v>
      </c>
      <c r="C9" s="623">
        <v>2017</v>
      </c>
      <c r="D9" s="624">
        <v>2024</v>
      </c>
      <c r="E9" s="422">
        <v>92000</v>
      </c>
      <c r="F9" s="21">
        <v>29600</v>
      </c>
      <c r="G9" s="21"/>
      <c r="H9" s="423"/>
      <c r="I9" s="927"/>
    </row>
    <row r="10" spans="1:9" ht="22.5" customHeight="1">
      <c r="A10" s="419" t="s">
        <v>9</v>
      </c>
      <c r="B10" s="420" t="s">
        <v>677</v>
      </c>
      <c r="C10" s="623">
        <v>2019</v>
      </c>
      <c r="D10" s="624">
        <v>2026</v>
      </c>
      <c r="E10" s="422">
        <v>312000</v>
      </c>
      <c r="F10" s="21">
        <v>249600</v>
      </c>
      <c r="G10" s="21">
        <v>187200</v>
      </c>
      <c r="H10" s="423">
        <v>124800</v>
      </c>
      <c r="I10" s="927"/>
    </row>
    <row r="11" spans="1:9" ht="22.5" customHeight="1">
      <c r="A11" s="419" t="s">
        <v>10</v>
      </c>
      <c r="B11" s="420" t="s">
        <v>677</v>
      </c>
      <c r="C11" s="623">
        <v>2019</v>
      </c>
      <c r="D11" s="624">
        <v>2026</v>
      </c>
      <c r="E11" s="422">
        <v>323200</v>
      </c>
      <c r="F11" s="21">
        <v>290800</v>
      </c>
      <c r="G11" s="21">
        <v>228400</v>
      </c>
      <c r="H11" s="423">
        <v>166000</v>
      </c>
      <c r="I11" s="927"/>
    </row>
    <row r="12" spans="1:9" ht="22.5" customHeight="1">
      <c r="A12" s="419" t="s">
        <v>11</v>
      </c>
      <c r="B12" s="420" t="s">
        <v>677</v>
      </c>
      <c r="C12" s="625">
        <v>2020</v>
      </c>
      <c r="D12" s="626">
        <v>2027</v>
      </c>
      <c r="E12" s="422">
        <v>300000</v>
      </c>
      <c r="F12" s="21">
        <v>240000</v>
      </c>
      <c r="G12" s="21">
        <v>180000</v>
      </c>
      <c r="H12" s="423">
        <v>120000</v>
      </c>
      <c r="I12" s="927"/>
    </row>
    <row r="13" spans="1:9" ht="22.5" customHeight="1" thickBot="1">
      <c r="A13" s="419" t="s">
        <v>12</v>
      </c>
      <c r="B13" s="420" t="s">
        <v>677</v>
      </c>
      <c r="C13" s="421">
        <v>2020</v>
      </c>
      <c r="D13" s="421">
        <v>2025</v>
      </c>
      <c r="E13" s="422">
        <v>151900</v>
      </c>
      <c r="F13" s="21">
        <v>114700</v>
      </c>
      <c r="G13" s="21">
        <v>77500</v>
      </c>
      <c r="H13" s="423">
        <v>40300</v>
      </c>
      <c r="I13" s="927"/>
    </row>
    <row r="14" spans="1:9" ht="22.5" customHeight="1" thickBot="1">
      <c r="A14" s="419" t="s">
        <v>18</v>
      </c>
      <c r="B14" s="775" t="s">
        <v>513</v>
      </c>
      <c r="C14" s="424"/>
      <c r="D14" s="425"/>
      <c r="E14" s="416">
        <f>SUM(E15:E17)</f>
        <v>25942</v>
      </c>
      <c r="F14" s="416">
        <f>SUM(F15:F17)</f>
        <v>0</v>
      </c>
      <c r="G14" s="416">
        <f>SUM(G15:G17)</f>
        <v>0</v>
      </c>
      <c r="H14" s="631">
        <f>SUM(H15:H17)</f>
        <v>0</v>
      </c>
      <c r="I14" s="927"/>
    </row>
    <row r="15" spans="1:9" ht="22.5" customHeight="1">
      <c r="A15" s="773" t="s">
        <v>19</v>
      </c>
      <c r="B15" s="776" t="s">
        <v>678</v>
      </c>
      <c r="C15" s="774">
        <v>1997</v>
      </c>
      <c r="D15" s="634">
        <v>2021</v>
      </c>
      <c r="E15" s="632">
        <v>6028</v>
      </c>
      <c r="F15" s="629"/>
      <c r="G15" s="630"/>
      <c r="H15" s="635"/>
      <c r="I15" s="927"/>
    </row>
    <row r="16" spans="1:9" ht="22.5" customHeight="1">
      <c r="A16" s="773" t="s">
        <v>20</v>
      </c>
      <c r="B16" s="776" t="s">
        <v>678</v>
      </c>
      <c r="C16" s="774">
        <v>1997</v>
      </c>
      <c r="D16" s="623">
        <v>2022</v>
      </c>
      <c r="E16" s="633">
        <v>13170</v>
      </c>
      <c r="F16" s="627"/>
      <c r="G16" s="628"/>
      <c r="H16" s="636"/>
      <c r="I16" s="927"/>
    </row>
    <row r="17" spans="1:9" ht="22.5" customHeight="1" thickBot="1">
      <c r="A17" s="773" t="s">
        <v>21</v>
      </c>
      <c r="B17" s="778" t="s">
        <v>678</v>
      </c>
      <c r="C17" s="774">
        <v>1997</v>
      </c>
      <c r="D17" s="623">
        <v>2021</v>
      </c>
      <c r="E17" s="633">
        <v>6744</v>
      </c>
      <c r="F17" s="627"/>
      <c r="G17" s="628"/>
      <c r="H17" s="636"/>
      <c r="I17" s="927"/>
    </row>
    <row r="18" spans="1:9" ht="22.5" customHeight="1" thickBot="1">
      <c r="A18" s="773" t="s">
        <v>25</v>
      </c>
      <c r="B18" s="413" t="s">
        <v>514</v>
      </c>
      <c r="C18" s="777"/>
      <c r="D18" s="415"/>
      <c r="E18" s="416">
        <f>E7+E14</f>
        <v>1392242</v>
      </c>
      <c r="F18" s="417">
        <f>F7+F14</f>
        <v>1049500</v>
      </c>
      <c r="G18" s="417">
        <f>G7+G14</f>
        <v>735500</v>
      </c>
      <c r="H18" s="418">
        <f>H7+H14</f>
        <v>451100</v>
      </c>
      <c r="I18" s="927"/>
    </row>
    <row r="19" ht="19.5" customHeight="1"/>
  </sheetData>
  <sheetProtection/>
  <mergeCells count="9">
    <mergeCell ref="A1:H1"/>
    <mergeCell ref="I3:I18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B6" sqref="B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57" t="s">
        <v>501</v>
      </c>
      <c r="B1" s="70"/>
    </row>
    <row r="2" spans="1:2" ht="12.75">
      <c r="A2" s="70"/>
      <c r="B2" s="70"/>
    </row>
    <row r="3" spans="1:2" ht="12.75">
      <c r="A3" s="259"/>
      <c r="B3" s="259"/>
    </row>
    <row r="4" spans="1:2" ht="15.75">
      <c r="A4" s="72"/>
      <c r="B4" s="263"/>
    </row>
    <row r="5" spans="1:2" ht="15.75">
      <c r="A5" s="72"/>
      <c r="B5" s="263"/>
    </row>
    <row r="6" spans="1:2" s="61" customFormat="1" ht="15.75">
      <c r="A6" s="72" t="s">
        <v>721</v>
      </c>
      <c r="B6" s="259"/>
    </row>
    <row r="7" spans="1:2" s="61" customFormat="1" ht="12.75">
      <c r="A7" s="259"/>
      <c r="B7" s="259"/>
    </row>
    <row r="8" spans="1:2" s="61" customFormat="1" ht="12.75">
      <c r="A8" s="259"/>
      <c r="B8" s="259"/>
    </row>
    <row r="9" spans="1:2" ht="12.75">
      <c r="A9" s="259" t="s">
        <v>458</v>
      </c>
      <c r="B9" s="259" t="s">
        <v>423</v>
      </c>
    </row>
    <row r="10" spans="1:2" ht="12.75">
      <c r="A10" s="259" t="s">
        <v>456</v>
      </c>
      <c r="B10" s="259" t="s">
        <v>429</v>
      </c>
    </row>
    <row r="11" spans="1:2" ht="12.75">
      <c r="A11" s="259" t="s">
        <v>457</v>
      </c>
      <c r="B11" s="259" t="s">
        <v>430</v>
      </c>
    </row>
    <row r="12" spans="1:2" ht="12.75">
      <c r="A12" s="259"/>
      <c r="B12" s="259"/>
    </row>
    <row r="13" spans="1:2" ht="15.75">
      <c r="A13" s="72" t="str">
        <f>+CONCATENATE(LEFT(A6,4),". évi módosított előirányzat BEVÉTELEK")</f>
        <v>2021. évi módosított előirányzat BEVÉTELEK</v>
      </c>
      <c r="B13" s="263"/>
    </row>
    <row r="14" spans="1:2" ht="12.75">
      <c r="A14" s="259"/>
      <c r="B14" s="259"/>
    </row>
    <row r="15" spans="1:2" s="61" customFormat="1" ht="12.75">
      <c r="A15" s="259" t="s">
        <v>459</v>
      </c>
      <c r="B15" s="259" t="s">
        <v>424</v>
      </c>
    </row>
    <row r="16" spans="1:2" ht="12.75">
      <c r="A16" s="259" t="s">
        <v>460</v>
      </c>
      <c r="B16" s="259" t="s">
        <v>431</v>
      </c>
    </row>
    <row r="17" spans="1:2" ht="12.75">
      <c r="A17" s="259" t="s">
        <v>461</v>
      </c>
      <c r="B17" s="259" t="s">
        <v>432</v>
      </c>
    </row>
    <row r="18" spans="1:2" ht="12.75">
      <c r="A18" s="259"/>
      <c r="B18" s="259"/>
    </row>
    <row r="19" spans="1:2" ht="14.25">
      <c r="A19" s="266" t="str">
        <f>+CONCATENATE(LEFT(A6,4),".évi teljesített BEVÉTELEK")</f>
        <v>2021.évi teljesített BEVÉTELEK</v>
      </c>
      <c r="B19" s="263"/>
    </row>
    <row r="20" spans="1:2" ht="12.75">
      <c r="A20" s="259"/>
      <c r="B20" s="259"/>
    </row>
    <row r="21" spans="1:2" ht="12.75">
      <c r="A21" s="259" t="s">
        <v>462</v>
      </c>
      <c r="B21" s="259" t="s">
        <v>425</v>
      </c>
    </row>
    <row r="22" spans="1:2" ht="12.75">
      <c r="A22" s="259" t="s">
        <v>463</v>
      </c>
      <c r="B22" s="259" t="s">
        <v>433</v>
      </c>
    </row>
    <row r="23" spans="1:2" ht="12.75">
      <c r="A23" s="259" t="s">
        <v>464</v>
      </c>
      <c r="B23" s="259" t="s">
        <v>434</v>
      </c>
    </row>
    <row r="24" spans="1:2" ht="12.75">
      <c r="A24" s="259"/>
      <c r="B24" s="259"/>
    </row>
    <row r="25" spans="1:2" ht="15.75">
      <c r="A25" s="72" t="str">
        <f>+CONCATENATE(LEFT(A6,4),". évi eredeti előirányzat KIADÁSOK")</f>
        <v>2021. évi eredeti előirányzat KIADÁSOK</v>
      </c>
      <c r="B25" s="263"/>
    </row>
    <row r="26" spans="1:2" ht="12.75">
      <c r="A26" s="259"/>
      <c r="B26" s="259"/>
    </row>
    <row r="27" spans="1:2" ht="12.75">
      <c r="A27" s="259" t="s">
        <v>465</v>
      </c>
      <c r="B27" s="259" t="s">
        <v>426</v>
      </c>
    </row>
    <row r="28" spans="1:2" ht="12.75">
      <c r="A28" s="259" t="s">
        <v>466</v>
      </c>
      <c r="B28" s="259" t="s">
        <v>435</v>
      </c>
    </row>
    <row r="29" spans="1:2" ht="12.75">
      <c r="A29" s="259" t="s">
        <v>467</v>
      </c>
      <c r="B29" s="259" t="s">
        <v>436</v>
      </c>
    </row>
    <row r="30" spans="1:2" ht="12.75">
      <c r="A30" s="259"/>
      <c r="B30" s="259"/>
    </row>
    <row r="31" spans="1:2" ht="15.75">
      <c r="A31" s="72" t="str">
        <f>+CONCATENATE(LEFT(A6,4),". évi módosított előirányzat KIADÁSOK")</f>
        <v>2021. évi módosított előirányzat KIADÁSOK</v>
      </c>
      <c r="B31" s="263"/>
    </row>
    <row r="32" spans="1:2" ht="12.75">
      <c r="A32" s="259"/>
      <c r="B32" s="259"/>
    </row>
    <row r="33" spans="1:2" ht="12.75">
      <c r="A33" s="259" t="s">
        <v>468</v>
      </c>
      <c r="B33" s="259" t="s">
        <v>427</v>
      </c>
    </row>
    <row r="34" spans="1:2" ht="12.75">
      <c r="A34" s="259" t="s">
        <v>469</v>
      </c>
      <c r="B34" s="259" t="s">
        <v>437</v>
      </c>
    </row>
    <row r="35" spans="1:2" ht="12.75">
      <c r="A35" s="259" t="s">
        <v>470</v>
      </c>
      <c r="B35" s="259" t="s">
        <v>438</v>
      </c>
    </row>
    <row r="36" spans="1:2" ht="12.75">
      <c r="A36" s="259"/>
      <c r="B36" s="259"/>
    </row>
    <row r="37" spans="1:2" ht="15.75">
      <c r="A37" s="265" t="str">
        <f>+CONCATENATE(LEFT(A6,4),".évi teljesített KIADÁSOK")</f>
        <v>2021.évi teljesített KIADÁSOK</v>
      </c>
      <c r="B37" s="263"/>
    </row>
    <row r="38" spans="1:2" ht="12.75">
      <c r="A38" s="259"/>
      <c r="B38" s="259"/>
    </row>
    <row r="39" spans="1:2" ht="12.75">
      <c r="A39" s="259" t="s">
        <v>471</v>
      </c>
      <c r="B39" s="259" t="s">
        <v>428</v>
      </c>
    </row>
    <row r="40" spans="1:2" ht="12.75">
      <c r="A40" s="259" t="s">
        <v>472</v>
      </c>
      <c r="B40" s="259" t="s">
        <v>439</v>
      </c>
    </row>
    <row r="41" spans="1:2" ht="12.75">
      <c r="A41" s="259" t="s">
        <v>473</v>
      </c>
      <c r="B41" s="259" t="s">
        <v>440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view="pageBreakPreview" zoomScale="60" zoomScaleNormal="120" workbookViewId="0" topLeftCell="A1">
      <selection activeCell="I34" sqref="I34"/>
    </sheetView>
  </sheetViews>
  <sheetFormatPr defaultColWidth="9.00390625" defaultRowHeight="12.75"/>
  <cols>
    <col min="1" max="1" width="5.875" style="443" customWidth="1"/>
    <col min="2" max="2" width="55.875" style="2" customWidth="1"/>
    <col min="3" max="4" width="14.875" style="2" customWidth="1"/>
    <col min="5" max="16384" width="9.375" style="2" customWidth="1"/>
  </cols>
  <sheetData>
    <row r="1" spans="1:4" ht="15">
      <c r="A1" s="939" t="str">
        <f>CONCATENATE("26. melléklet ",Z_ALAPADATOK!A7," ",Z_ALAPADATOK!B7," ",Z_ALAPADATOK!C7," ",Z_ALAPADATOK!D7," ",Z_ALAPADATOK!E7," ",Z_ALAPADATOK!F7," ",Z_ALAPADATOK!G7," ",Z_ALAPADATOK!H7)</f>
        <v>26. melléklet a 3 / 2022. ( V. 26. ) önkormányzati rendelethez</v>
      </c>
      <c r="B1" s="853"/>
      <c r="C1" s="853"/>
      <c r="D1" s="853"/>
    </row>
    <row r="2" spans="1:4" ht="12.75">
      <c r="A2" s="516"/>
      <c r="B2" s="517"/>
      <c r="C2" s="517"/>
      <c r="D2" s="517"/>
    </row>
    <row r="3" spans="1:4" ht="15.75">
      <c r="A3" s="940" t="s">
        <v>569</v>
      </c>
      <c r="B3" s="926"/>
      <c r="C3" s="926"/>
      <c r="D3" s="926"/>
    </row>
    <row r="4" spans="1:4" ht="15.75">
      <c r="A4" s="940" t="s">
        <v>570</v>
      </c>
      <c r="B4" s="926"/>
      <c r="C4" s="926"/>
      <c r="D4" s="926"/>
    </row>
    <row r="5" spans="1:4" s="410" customFormat="1" ht="15.75" thickBot="1">
      <c r="A5" s="509"/>
      <c r="B5" s="373"/>
      <c r="C5" s="373"/>
      <c r="D5" s="383" t="str">
        <f>'25'!H3</f>
        <v>Forintban</v>
      </c>
    </row>
    <row r="6" spans="1:4" s="41" customFormat="1" ht="48" customHeight="1" thickBot="1">
      <c r="A6" s="359" t="s">
        <v>4</v>
      </c>
      <c r="B6" s="366" t="s">
        <v>5</v>
      </c>
      <c r="C6" s="366" t="s">
        <v>691</v>
      </c>
      <c r="D6" s="518" t="s">
        <v>692</v>
      </c>
    </row>
    <row r="7" spans="1:4" s="41" customFormat="1" ht="13.5" customHeight="1" thickBot="1">
      <c r="A7" s="519" t="s">
        <v>384</v>
      </c>
      <c r="B7" s="520" t="s">
        <v>385</v>
      </c>
      <c r="C7" s="520" t="s">
        <v>386</v>
      </c>
      <c r="D7" s="521" t="s">
        <v>388</v>
      </c>
    </row>
    <row r="8" spans="1:4" ht="18" customHeight="1">
      <c r="A8" s="426" t="s">
        <v>6</v>
      </c>
      <c r="B8" s="427" t="s">
        <v>515</v>
      </c>
      <c r="C8" s="428"/>
      <c r="D8" s="429"/>
    </row>
    <row r="9" spans="1:4" ht="18" customHeight="1">
      <c r="A9" s="430" t="s">
        <v>7</v>
      </c>
      <c r="B9" s="431" t="s">
        <v>516</v>
      </c>
      <c r="C9" s="432"/>
      <c r="D9" s="433"/>
    </row>
    <row r="10" spans="1:4" ht="18" customHeight="1">
      <c r="A10" s="430" t="s">
        <v>8</v>
      </c>
      <c r="B10" s="431" t="s">
        <v>517</v>
      </c>
      <c r="C10" s="432"/>
      <c r="D10" s="433"/>
    </row>
    <row r="11" spans="1:4" ht="18" customHeight="1">
      <c r="A11" s="430" t="s">
        <v>9</v>
      </c>
      <c r="B11" s="431" t="s">
        <v>518</v>
      </c>
      <c r="C11" s="432"/>
      <c r="D11" s="433"/>
    </row>
    <row r="12" spans="1:4" ht="18" customHeight="1">
      <c r="A12" s="434" t="s">
        <v>10</v>
      </c>
      <c r="B12" s="431" t="s">
        <v>519</v>
      </c>
      <c r="C12" s="432"/>
      <c r="D12" s="433"/>
    </row>
    <row r="13" spans="1:4" ht="18" customHeight="1">
      <c r="A13" s="430" t="s">
        <v>11</v>
      </c>
      <c r="B13" s="431" t="s">
        <v>520</v>
      </c>
      <c r="C13" s="432">
        <v>162402450</v>
      </c>
      <c r="D13" s="433">
        <v>35530298</v>
      </c>
    </row>
    <row r="14" spans="1:4" ht="18" customHeight="1">
      <c r="A14" s="434" t="s">
        <v>12</v>
      </c>
      <c r="B14" s="435" t="s">
        <v>521</v>
      </c>
      <c r="C14" s="432">
        <v>7215950</v>
      </c>
      <c r="D14" s="433">
        <v>718966</v>
      </c>
    </row>
    <row r="15" spans="1:4" ht="18" customHeight="1">
      <c r="A15" s="434" t="s">
        <v>13</v>
      </c>
      <c r="B15" s="435" t="s">
        <v>522</v>
      </c>
      <c r="C15" s="432">
        <v>138000</v>
      </c>
      <c r="D15" s="433"/>
    </row>
    <row r="16" spans="1:4" ht="18" customHeight="1">
      <c r="A16" s="430" t="s">
        <v>14</v>
      </c>
      <c r="B16" s="435" t="s">
        <v>523</v>
      </c>
      <c r="C16" s="432"/>
      <c r="D16" s="433"/>
    </row>
    <row r="17" spans="1:4" ht="18" customHeight="1">
      <c r="A17" s="434" t="s">
        <v>15</v>
      </c>
      <c r="B17" s="435" t="s">
        <v>524</v>
      </c>
      <c r="C17" s="432"/>
      <c r="D17" s="433"/>
    </row>
    <row r="18" spans="1:4" ht="22.5">
      <c r="A18" s="430" t="s">
        <v>16</v>
      </c>
      <c r="B18" s="435" t="s">
        <v>525</v>
      </c>
      <c r="C18" s="432"/>
      <c r="D18" s="433"/>
    </row>
    <row r="19" spans="1:4" ht="18" customHeight="1">
      <c r="A19" s="434" t="s">
        <v>17</v>
      </c>
      <c r="B19" s="431" t="s">
        <v>526</v>
      </c>
      <c r="C19" s="432"/>
      <c r="D19" s="433"/>
    </row>
    <row r="20" spans="1:4" ht="18" customHeight="1">
      <c r="A20" s="430" t="s">
        <v>18</v>
      </c>
      <c r="B20" s="431" t="s">
        <v>527</v>
      </c>
      <c r="C20" s="432"/>
      <c r="D20" s="433"/>
    </row>
    <row r="21" spans="1:4" ht="18" customHeight="1">
      <c r="A21" s="434" t="s">
        <v>19</v>
      </c>
      <c r="B21" s="431" t="s">
        <v>528</v>
      </c>
      <c r="C21" s="432"/>
      <c r="D21" s="433"/>
    </row>
    <row r="22" spans="1:4" ht="18" customHeight="1">
      <c r="A22" s="430" t="s">
        <v>20</v>
      </c>
      <c r="B22" s="431" t="s">
        <v>529</v>
      </c>
      <c r="C22" s="432"/>
      <c r="D22" s="433"/>
    </row>
    <row r="23" spans="1:4" ht="18" customHeight="1">
      <c r="A23" s="434" t="s">
        <v>21</v>
      </c>
      <c r="B23" s="431" t="s">
        <v>530</v>
      </c>
      <c r="C23" s="432"/>
      <c r="D23" s="433"/>
    </row>
    <row r="24" spans="1:4" ht="18" customHeight="1">
      <c r="A24" s="430" t="s">
        <v>22</v>
      </c>
      <c r="B24" s="436"/>
      <c r="C24" s="432"/>
      <c r="D24" s="433"/>
    </row>
    <row r="25" spans="1:4" ht="18" customHeight="1">
      <c r="A25" s="434" t="s">
        <v>23</v>
      </c>
      <c r="B25" s="436"/>
      <c r="C25" s="432"/>
      <c r="D25" s="433"/>
    </row>
    <row r="26" spans="1:4" ht="18" customHeight="1">
      <c r="A26" s="430" t="s">
        <v>24</v>
      </c>
      <c r="B26" s="436"/>
      <c r="C26" s="432"/>
      <c r="D26" s="433"/>
    </row>
    <row r="27" spans="1:4" ht="18" customHeight="1">
      <c r="A27" s="434" t="s">
        <v>25</v>
      </c>
      <c r="B27" s="436"/>
      <c r="C27" s="432"/>
      <c r="D27" s="433"/>
    </row>
    <row r="28" spans="1:4" ht="18" customHeight="1">
      <c r="A28" s="430" t="s">
        <v>26</v>
      </c>
      <c r="B28" s="436"/>
      <c r="C28" s="432"/>
      <c r="D28" s="433"/>
    </row>
    <row r="29" spans="1:4" ht="18" customHeight="1">
      <c r="A29" s="434" t="s">
        <v>27</v>
      </c>
      <c r="B29" s="436"/>
      <c r="C29" s="432"/>
      <c r="D29" s="433"/>
    </row>
    <row r="30" spans="1:4" ht="18" customHeight="1">
      <c r="A30" s="430" t="s">
        <v>28</v>
      </c>
      <c r="B30" s="436"/>
      <c r="C30" s="432"/>
      <c r="D30" s="433"/>
    </row>
    <row r="31" spans="1:4" ht="18" customHeight="1">
      <c r="A31" s="434" t="s">
        <v>29</v>
      </c>
      <c r="B31" s="436"/>
      <c r="C31" s="432"/>
      <c r="D31" s="433"/>
    </row>
    <row r="32" spans="1:4" ht="18" customHeight="1" thickBot="1">
      <c r="A32" s="437" t="s">
        <v>30</v>
      </c>
      <c r="B32" s="438"/>
      <c r="C32" s="439"/>
      <c r="D32" s="440"/>
    </row>
    <row r="33" spans="1:4" ht="18" customHeight="1" thickBot="1">
      <c r="A33" s="441" t="s">
        <v>31</v>
      </c>
      <c r="B33" s="515" t="s">
        <v>38</v>
      </c>
      <c r="C33" s="417">
        <f>SUM(C13:C32)</f>
        <v>169756400</v>
      </c>
      <c r="D33" s="418">
        <f>SUM(D13:D32)</f>
        <v>36249264</v>
      </c>
    </row>
    <row r="34" spans="1:4" ht="25.5" customHeight="1">
      <c r="A34" s="442"/>
      <c r="B34" s="938" t="s">
        <v>531</v>
      </c>
      <c r="C34" s="938"/>
      <c r="D34" s="938"/>
    </row>
  </sheetData>
  <sheetProtection/>
  <mergeCells count="4">
    <mergeCell ref="B34:D34"/>
    <mergeCell ref="A1:D1"/>
    <mergeCell ref="A3:D3"/>
    <mergeCell ref="A4:D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view="pageBreakPreview" zoomScale="60" zoomScaleNormal="120" workbookViewId="0" topLeftCell="A1">
      <selection activeCell="J15" sqref="I15:J15"/>
    </sheetView>
  </sheetViews>
  <sheetFormatPr defaultColWidth="9.00390625" defaultRowHeight="12.75"/>
  <cols>
    <col min="1" max="1" width="6.625" style="30" customWidth="1"/>
    <col min="2" max="2" width="53.50390625" style="30" customWidth="1"/>
    <col min="3" max="3" width="20.875" style="30" customWidth="1"/>
    <col min="4" max="5" width="12.875" style="30" customWidth="1"/>
    <col min="6" max="16384" width="9.375" style="30" customWidth="1"/>
  </cols>
  <sheetData>
    <row r="1" spans="1:5" ht="15">
      <c r="A1" s="943" t="str">
        <f>CONCATENATE("27. melléklet ",Z_ALAPADATOK!A7," ",Z_ALAPADATOK!B7," ",Z_ALAPADATOK!C7," ",Z_ALAPADATOK!D7," ",Z_ALAPADATOK!E7," ",Z_ALAPADATOK!F7," ",Z_ALAPADATOK!G7," ",Z_ALAPADATOK!H7)</f>
        <v>27. melléklet a 3 / 2022. ( V. 26. ) önkormányzati rendelethez</v>
      </c>
      <c r="B1" s="943"/>
      <c r="C1" s="943"/>
      <c r="D1" s="943"/>
      <c r="E1" s="943"/>
    </row>
    <row r="2" spans="1:5" ht="12.75">
      <c r="A2" s="62"/>
      <c r="B2" s="62"/>
      <c r="C2" s="62"/>
      <c r="D2" s="62"/>
      <c r="E2" s="62"/>
    </row>
    <row r="3" spans="1:5" ht="15.75">
      <c r="A3" s="859" t="s">
        <v>571</v>
      </c>
      <c r="B3" s="859"/>
      <c r="C3" s="859"/>
      <c r="D3" s="859"/>
      <c r="E3" s="859"/>
    </row>
    <row r="4" spans="1:5" ht="15.75">
      <c r="A4" s="859" t="s">
        <v>736</v>
      </c>
      <c r="B4" s="859"/>
      <c r="C4" s="859"/>
      <c r="D4" s="859"/>
      <c r="E4" s="859"/>
    </row>
    <row r="5" spans="1:5" ht="12.75">
      <c r="A5" s="62"/>
      <c r="B5" s="62"/>
      <c r="C5" s="62"/>
      <c r="D5" s="62"/>
      <c r="E5" s="62"/>
    </row>
    <row r="6" spans="1:5" ht="14.25" thickBot="1">
      <c r="A6" s="62"/>
      <c r="B6" s="62"/>
      <c r="C6" s="522"/>
      <c r="D6" s="522"/>
      <c r="E6" s="522" t="str">
        <f>'26'!D5</f>
        <v>Forintban</v>
      </c>
    </row>
    <row r="7" spans="1:5" ht="42.75" customHeight="1" thickBot="1">
      <c r="A7" s="523" t="s">
        <v>51</v>
      </c>
      <c r="B7" s="524" t="s">
        <v>532</v>
      </c>
      <c r="C7" s="806" t="s">
        <v>533</v>
      </c>
      <c r="D7" s="640" t="s">
        <v>688</v>
      </c>
      <c r="E7" s="638" t="s">
        <v>689</v>
      </c>
    </row>
    <row r="8" spans="1:5" ht="30" customHeight="1">
      <c r="A8" s="444" t="s">
        <v>6</v>
      </c>
      <c r="B8" s="800" t="s">
        <v>679</v>
      </c>
      <c r="C8" s="805" t="s">
        <v>816</v>
      </c>
      <c r="D8" s="639">
        <v>100000</v>
      </c>
      <c r="E8" s="641">
        <v>100000</v>
      </c>
    </row>
    <row r="9" spans="1:5" ht="15.75" customHeight="1">
      <c r="A9" s="445" t="s">
        <v>7</v>
      </c>
      <c r="B9" s="801" t="s">
        <v>680</v>
      </c>
      <c r="C9" s="446" t="s">
        <v>816</v>
      </c>
      <c r="D9" s="637">
        <v>100000</v>
      </c>
      <c r="E9" s="642"/>
    </row>
    <row r="10" spans="1:5" ht="15.75" customHeight="1">
      <c r="A10" s="445" t="s">
        <v>8</v>
      </c>
      <c r="B10" s="801" t="s">
        <v>681</v>
      </c>
      <c r="C10" s="446" t="s">
        <v>694</v>
      </c>
      <c r="D10" s="637">
        <v>100000</v>
      </c>
      <c r="E10" s="642">
        <v>100000</v>
      </c>
    </row>
    <row r="11" spans="1:5" ht="15.75" customHeight="1">
      <c r="A11" s="445" t="s">
        <v>9</v>
      </c>
      <c r="B11" s="801" t="s">
        <v>682</v>
      </c>
      <c r="C11" s="446" t="s">
        <v>695</v>
      </c>
      <c r="D11" s="637">
        <v>100000</v>
      </c>
      <c r="E11" s="642">
        <v>100000</v>
      </c>
    </row>
    <row r="12" spans="1:5" ht="15.75" customHeight="1">
      <c r="A12" s="445" t="s">
        <v>10</v>
      </c>
      <c r="B12" s="802" t="s">
        <v>815</v>
      </c>
      <c r="C12" s="446" t="s">
        <v>816</v>
      </c>
      <c r="D12" s="637">
        <v>100000</v>
      </c>
      <c r="E12" s="642"/>
    </row>
    <row r="13" spans="1:5" ht="15.75" customHeight="1">
      <c r="A13" s="445" t="s">
        <v>11</v>
      </c>
      <c r="B13" s="801" t="s">
        <v>683</v>
      </c>
      <c r="C13" s="446" t="s">
        <v>816</v>
      </c>
      <c r="D13" s="637">
        <v>70000</v>
      </c>
      <c r="E13" s="642"/>
    </row>
    <row r="14" spans="1:5" ht="15.75" customHeight="1">
      <c r="A14" s="445" t="s">
        <v>12</v>
      </c>
      <c r="B14" s="801" t="s">
        <v>684</v>
      </c>
      <c r="C14" s="446" t="s">
        <v>694</v>
      </c>
      <c r="D14" s="637">
        <v>100000</v>
      </c>
      <c r="E14" s="642">
        <v>100000</v>
      </c>
    </row>
    <row r="15" spans="1:5" ht="15.75" customHeight="1">
      <c r="A15" s="445" t="s">
        <v>13</v>
      </c>
      <c r="B15" s="801" t="s">
        <v>685</v>
      </c>
      <c r="C15" s="446" t="s">
        <v>816</v>
      </c>
      <c r="D15" s="637">
        <v>100000</v>
      </c>
      <c r="E15" s="642">
        <v>100000</v>
      </c>
    </row>
    <row r="16" spans="1:5" ht="15.75" customHeight="1">
      <c r="A16" s="445" t="s">
        <v>14</v>
      </c>
      <c r="B16" s="801" t="s">
        <v>686</v>
      </c>
      <c r="C16" s="446"/>
      <c r="D16" s="637">
        <v>50000</v>
      </c>
      <c r="E16" s="642"/>
    </row>
    <row r="17" spans="1:5" ht="15.75" customHeight="1">
      <c r="A17" s="445" t="s">
        <v>15</v>
      </c>
      <c r="B17" s="803" t="s">
        <v>687</v>
      </c>
      <c r="C17" s="446"/>
      <c r="D17" s="637">
        <v>50000</v>
      </c>
      <c r="E17" s="642"/>
    </row>
    <row r="18" spans="1:5" ht="15.75" customHeight="1">
      <c r="A18" s="445" t="s">
        <v>16</v>
      </c>
      <c r="B18" s="804" t="s">
        <v>690</v>
      </c>
      <c r="C18" s="446" t="s">
        <v>693</v>
      </c>
      <c r="D18" s="637">
        <v>100000</v>
      </c>
      <c r="E18" s="642">
        <v>100000</v>
      </c>
    </row>
    <row r="19" spans="1:5" ht="23.25" customHeight="1">
      <c r="A19" s="779" t="s">
        <v>17</v>
      </c>
      <c r="B19" s="804" t="s">
        <v>813</v>
      </c>
      <c r="C19" s="784" t="s">
        <v>814</v>
      </c>
      <c r="D19" s="785">
        <v>539185</v>
      </c>
      <c r="E19" s="786">
        <v>529801</v>
      </c>
    </row>
    <row r="20" spans="1:5" ht="15.75" customHeight="1" thickBot="1">
      <c r="A20" s="779" t="s">
        <v>18</v>
      </c>
      <c r="B20" s="780" t="s">
        <v>812</v>
      </c>
      <c r="C20" s="781"/>
      <c r="D20" s="782"/>
      <c r="E20" s="783">
        <v>100000</v>
      </c>
    </row>
    <row r="21" spans="1:5" ht="15.75" customHeight="1" thickBot="1">
      <c r="A21" s="941" t="s">
        <v>38</v>
      </c>
      <c r="B21" s="942"/>
      <c r="C21" s="447"/>
      <c r="D21" s="448">
        <f>SUM(D8:D19)</f>
        <v>1509185</v>
      </c>
      <c r="E21" s="449">
        <f>SUM(E8:E20)</f>
        <v>1229801</v>
      </c>
    </row>
  </sheetData>
  <sheetProtection/>
  <mergeCells count="4">
    <mergeCell ref="A21:B21"/>
    <mergeCell ref="A1:E1"/>
    <mergeCell ref="A4:E4"/>
    <mergeCell ref="A3:E3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8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262"/>
  <sheetViews>
    <sheetView view="pageBreakPreview" zoomScale="120" zoomScaleNormal="120" zoomScaleSheetLayoutView="120" workbookViewId="0" topLeftCell="A154">
      <selection activeCell="H194" sqref="H194"/>
    </sheetView>
  </sheetViews>
  <sheetFormatPr defaultColWidth="12.00390625" defaultRowHeight="12.75"/>
  <cols>
    <col min="1" max="1" width="4.00390625" style="450" customWidth="1"/>
    <col min="2" max="2" width="67.125" style="450" customWidth="1"/>
    <col min="3" max="4" width="12.125" style="450" customWidth="1"/>
    <col min="5" max="16384" width="12.00390625" style="450" customWidth="1"/>
  </cols>
  <sheetData>
    <row r="1" spans="2:4" ht="15.75">
      <c r="B1" s="950" t="str">
        <f>CONCATENATE("28. melléklet ",Z_ALAPADATOK!A7," ",Z_ALAPADATOK!B7," ",Z_ALAPADATOK!C7," ",Z_ALAPADATOK!D7," ",Z_ALAPADATOK!E7," ",Z_ALAPADATOK!F7," ",Z_ALAPADATOK!G7," ",Z_ALAPADATOK!H7)</f>
        <v>28. melléklet a 3 / 2022. ( V. 26. ) önkormányzati rendelethez</v>
      </c>
      <c r="C1" s="829"/>
      <c r="D1" s="829"/>
    </row>
    <row r="2" spans="2:4" ht="15.75">
      <c r="B2" s="951" t="s">
        <v>572</v>
      </c>
      <c r="C2" s="952"/>
      <c r="D2" s="952"/>
    </row>
    <row r="3" spans="2:4" ht="16.5" customHeight="1">
      <c r="B3" s="951" t="s">
        <v>573</v>
      </c>
      <c r="C3" s="952"/>
      <c r="D3" s="952"/>
    </row>
    <row r="4" spans="2:4" ht="16.5" customHeight="1">
      <c r="B4" s="953" t="s">
        <v>737</v>
      </c>
      <c r="C4" s="954"/>
      <c r="D4" s="954"/>
    </row>
    <row r="5" spans="2:4" ht="16.5" customHeight="1" thickBot="1">
      <c r="B5" s="525"/>
      <c r="C5" s="955" t="str">
        <f>'27'!E6</f>
        <v>Forintban</v>
      </c>
      <c r="D5" s="955"/>
    </row>
    <row r="6" spans="1:4" ht="15.75" customHeight="1">
      <c r="A6" s="948" t="s">
        <v>535</v>
      </c>
      <c r="B6" s="956" t="s">
        <v>534</v>
      </c>
      <c r="C6" s="944" t="s">
        <v>817</v>
      </c>
      <c r="D6" s="945"/>
    </row>
    <row r="7" spans="1:4" ht="11.25" customHeight="1">
      <c r="A7" s="949"/>
      <c r="B7" s="957"/>
      <c r="C7" s="946"/>
      <c r="D7" s="947"/>
    </row>
    <row r="8" spans="1:4" ht="25.5" thickBot="1">
      <c r="A8" s="949"/>
      <c r="B8" s="957"/>
      <c r="C8" s="807" t="s">
        <v>818</v>
      </c>
      <c r="D8" s="808" t="s">
        <v>819</v>
      </c>
    </row>
    <row r="9" spans="1:4" s="451" customFormat="1" ht="15.75">
      <c r="A9" s="811" t="s">
        <v>536</v>
      </c>
      <c r="B9" s="812" t="s">
        <v>385</v>
      </c>
      <c r="C9" s="812" t="s">
        <v>386</v>
      </c>
      <c r="D9" s="811" t="s">
        <v>388</v>
      </c>
    </row>
    <row r="10" spans="1:4" s="452" customFormat="1" ht="15.75">
      <c r="A10" s="813" t="s">
        <v>39</v>
      </c>
      <c r="B10" s="814" t="s">
        <v>820</v>
      </c>
      <c r="C10" s="815">
        <v>299</v>
      </c>
      <c r="D10" s="815">
        <v>0</v>
      </c>
    </row>
    <row r="11" spans="1:4" s="452" customFormat="1" ht="15.75">
      <c r="A11" s="813" t="s">
        <v>43</v>
      </c>
      <c r="B11" s="814" t="s">
        <v>821</v>
      </c>
      <c r="C11" s="815">
        <v>6854</v>
      </c>
      <c r="D11" s="815">
        <v>1552800</v>
      </c>
    </row>
    <row r="12" spans="1:4" s="452" customFormat="1" ht="15.75">
      <c r="A12" s="813" t="s">
        <v>44</v>
      </c>
      <c r="B12" s="814" t="s">
        <v>822</v>
      </c>
      <c r="C12" s="815">
        <v>0</v>
      </c>
      <c r="D12" s="815">
        <v>0</v>
      </c>
    </row>
    <row r="13" spans="1:4" s="452" customFormat="1" ht="15.75">
      <c r="A13" s="816" t="s">
        <v>331</v>
      </c>
      <c r="B13" s="817" t="s">
        <v>823</v>
      </c>
      <c r="C13" s="818">
        <v>7153</v>
      </c>
      <c r="D13" s="818">
        <v>1552800</v>
      </c>
    </row>
    <row r="14" spans="1:4" s="452" customFormat="1" ht="18" customHeight="1">
      <c r="A14" s="813" t="s">
        <v>1068</v>
      </c>
      <c r="B14" s="814" t="s">
        <v>824</v>
      </c>
      <c r="C14" s="815">
        <v>3103353937</v>
      </c>
      <c r="D14" s="815">
        <v>3408137960</v>
      </c>
    </row>
    <row r="15" spans="1:4" s="452" customFormat="1" ht="15.75">
      <c r="A15" s="813" t="s">
        <v>1069</v>
      </c>
      <c r="B15" s="814" t="s">
        <v>825</v>
      </c>
      <c r="C15" s="815">
        <v>37557846</v>
      </c>
      <c r="D15" s="815">
        <v>47996190</v>
      </c>
    </row>
    <row r="16" spans="1:4" s="452" customFormat="1" ht="15.75">
      <c r="A16" s="813" t="s">
        <v>1070</v>
      </c>
      <c r="B16" s="814" t="s">
        <v>826</v>
      </c>
      <c r="C16" s="815">
        <v>0</v>
      </c>
      <c r="D16" s="815">
        <v>0</v>
      </c>
    </row>
    <row r="17" spans="1:4" s="452" customFormat="1" ht="15.75">
      <c r="A17" s="813" t="s">
        <v>1071</v>
      </c>
      <c r="B17" s="814" t="s">
        <v>827</v>
      </c>
      <c r="C17" s="815">
        <v>107934585</v>
      </c>
      <c r="D17" s="815">
        <v>24347257</v>
      </c>
    </row>
    <row r="18" spans="1:4" s="452" customFormat="1" ht="15.75">
      <c r="A18" s="813" t="s">
        <v>1072</v>
      </c>
      <c r="B18" s="814" t="s">
        <v>828</v>
      </c>
      <c r="C18" s="815">
        <v>0</v>
      </c>
      <c r="D18" s="815">
        <v>0</v>
      </c>
    </row>
    <row r="19" spans="1:4" s="452" customFormat="1" ht="15.75">
      <c r="A19" s="816" t="s">
        <v>1073</v>
      </c>
      <c r="B19" s="817" t="s">
        <v>829</v>
      </c>
      <c r="C19" s="818">
        <v>3248846368</v>
      </c>
      <c r="D19" s="818">
        <v>3480481407</v>
      </c>
    </row>
    <row r="20" spans="1:4" s="452" customFormat="1" ht="15.75">
      <c r="A20" s="813" t="s">
        <v>1074</v>
      </c>
      <c r="B20" s="814" t="s">
        <v>1075</v>
      </c>
      <c r="C20" s="815">
        <v>16288560</v>
      </c>
      <c r="D20" s="815">
        <v>16288560</v>
      </c>
    </row>
    <row r="21" spans="1:4" s="452" customFormat="1" ht="15.75">
      <c r="A21" s="813" t="s">
        <v>1076</v>
      </c>
      <c r="B21" s="814" t="s">
        <v>830</v>
      </c>
      <c r="C21" s="815">
        <v>0</v>
      </c>
      <c r="D21" s="815">
        <v>0</v>
      </c>
    </row>
    <row r="22" spans="1:4" s="452" customFormat="1" ht="15.75">
      <c r="A22" s="813" t="s">
        <v>1077</v>
      </c>
      <c r="B22" s="814" t="s">
        <v>831</v>
      </c>
      <c r="C22" s="815">
        <v>0</v>
      </c>
      <c r="D22" s="815">
        <v>0</v>
      </c>
    </row>
    <row r="23" spans="1:4" s="452" customFormat="1" ht="15.75">
      <c r="A23" s="813" t="s">
        <v>1078</v>
      </c>
      <c r="B23" s="814" t="s">
        <v>832</v>
      </c>
      <c r="C23" s="815">
        <v>0</v>
      </c>
      <c r="D23" s="815">
        <v>0</v>
      </c>
    </row>
    <row r="24" spans="1:4" s="452" customFormat="1" ht="15.75">
      <c r="A24" s="813" t="s">
        <v>1079</v>
      </c>
      <c r="B24" s="814" t="s">
        <v>833</v>
      </c>
      <c r="C24" s="815">
        <v>0</v>
      </c>
      <c r="D24" s="815">
        <v>0</v>
      </c>
    </row>
    <row r="25" spans="1:4" s="452" customFormat="1" ht="15.75">
      <c r="A25" s="813" t="s">
        <v>1080</v>
      </c>
      <c r="B25" s="814" t="s">
        <v>1081</v>
      </c>
      <c r="C25" s="815">
        <v>5639575</v>
      </c>
      <c r="D25" s="815">
        <v>5639575</v>
      </c>
    </row>
    <row r="26" spans="1:4" s="452" customFormat="1" ht="15.75">
      <c r="A26" s="813" t="s">
        <v>1082</v>
      </c>
      <c r="B26" s="814" t="s">
        <v>1083</v>
      </c>
      <c r="C26" s="815">
        <v>10648985</v>
      </c>
      <c r="D26" s="815">
        <v>10648985</v>
      </c>
    </row>
    <row r="27" spans="1:4" s="452" customFormat="1" ht="15.75">
      <c r="A27" s="813" t="s">
        <v>1084</v>
      </c>
      <c r="B27" s="814" t="s">
        <v>834</v>
      </c>
      <c r="C27" s="815">
        <v>0</v>
      </c>
      <c r="D27" s="815">
        <v>0</v>
      </c>
    </row>
    <row r="28" spans="1:4" s="452" customFormat="1" ht="15.75">
      <c r="A28" s="813" t="s">
        <v>1085</v>
      </c>
      <c r="B28" s="814" t="s">
        <v>835</v>
      </c>
      <c r="C28" s="815">
        <v>0</v>
      </c>
      <c r="D28" s="815">
        <v>0</v>
      </c>
    </row>
    <row r="29" spans="1:4" s="452" customFormat="1" ht="15.75">
      <c r="A29" s="813" t="s">
        <v>1086</v>
      </c>
      <c r="B29" s="814" t="s">
        <v>836</v>
      </c>
      <c r="C29" s="815">
        <v>0</v>
      </c>
      <c r="D29" s="815">
        <v>0</v>
      </c>
    </row>
    <row r="30" spans="1:4" s="452" customFormat="1" ht="15.75">
      <c r="A30" s="813" t="s">
        <v>1087</v>
      </c>
      <c r="B30" s="814" t="s">
        <v>837</v>
      </c>
      <c r="C30" s="815">
        <v>0</v>
      </c>
      <c r="D30" s="815">
        <v>0</v>
      </c>
    </row>
    <row r="31" spans="1:4" s="452" customFormat="1" ht="15.75">
      <c r="A31" s="816" t="s">
        <v>1088</v>
      </c>
      <c r="B31" s="817" t="s">
        <v>838</v>
      </c>
      <c r="C31" s="818">
        <v>16288560</v>
      </c>
      <c r="D31" s="818">
        <v>16288560</v>
      </c>
    </row>
    <row r="32" spans="1:4" s="452" customFormat="1" ht="15.75">
      <c r="A32" s="813" t="s">
        <v>1089</v>
      </c>
      <c r="B32" s="814" t="s">
        <v>839</v>
      </c>
      <c r="C32" s="815">
        <v>0</v>
      </c>
      <c r="D32" s="815">
        <v>0</v>
      </c>
    </row>
    <row r="33" spans="1:4" s="452" customFormat="1" ht="15.75">
      <c r="A33" s="813" t="s">
        <v>1090</v>
      </c>
      <c r="B33" s="814" t="s">
        <v>840</v>
      </c>
      <c r="C33" s="815">
        <v>0</v>
      </c>
      <c r="D33" s="815">
        <v>0</v>
      </c>
    </row>
    <row r="34" spans="1:4" s="452" customFormat="1" ht="15.75">
      <c r="A34" s="813" t="s">
        <v>1091</v>
      </c>
      <c r="B34" s="814" t="s">
        <v>841</v>
      </c>
      <c r="C34" s="815">
        <v>0</v>
      </c>
      <c r="D34" s="815">
        <v>0</v>
      </c>
    </row>
    <row r="35" spans="1:4" s="452" customFormat="1" ht="15.75">
      <c r="A35" s="813" t="s">
        <v>1092</v>
      </c>
      <c r="B35" s="814" t="s">
        <v>842</v>
      </c>
      <c r="C35" s="815">
        <v>0</v>
      </c>
      <c r="D35" s="815">
        <v>0</v>
      </c>
    </row>
    <row r="36" spans="1:4" s="452" customFormat="1" ht="15.75">
      <c r="A36" s="813" t="s">
        <v>1093</v>
      </c>
      <c r="B36" s="814" t="s">
        <v>843</v>
      </c>
      <c r="C36" s="815">
        <v>0</v>
      </c>
      <c r="D36" s="815">
        <v>0</v>
      </c>
    </row>
    <row r="37" spans="1:4" s="452" customFormat="1" ht="15.75">
      <c r="A37" s="816" t="s">
        <v>1094</v>
      </c>
      <c r="B37" s="817" t="s">
        <v>844</v>
      </c>
      <c r="C37" s="818">
        <v>0</v>
      </c>
      <c r="D37" s="818">
        <v>0</v>
      </c>
    </row>
    <row r="38" spans="1:4" s="452" customFormat="1" ht="15.75">
      <c r="A38" s="816" t="s">
        <v>1095</v>
      </c>
      <c r="B38" s="817" t="s">
        <v>845</v>
      </c>
      <c r="C38" s="818">
        <v>3265142081</v>
      </c>
      <c r="D38" s="818">
        <v>3498322767</v>
      </c>
    </row>
    <row r="39" spans="1:4" s="452" customFormat="1" ht="15.75">
      <c r="A39" s="813" t="s">
        <v>1096</v>
      </c>
      <c r="B39" s="814" t="s">
        <v>846</v>
      </c>
      <c r="C39" s="815">
        <v>850848</v>
      </c>
      <c r="D39" s="815">
        <v>608616</v>
      </c>
    </row>
    <row r="40" spans="1:4" s="452" customFormat="1" ht="15.75">
      <c r="A40" s="813" t="s">
        <v>1097</v>
      </c>
      <c r="B40" s="814" t="s">
        <v>847</v>
      </c>
      <c r="C40" s="815">
        <v>0</v>
      </c>
      <c r="D40" s="815">
        <v>0</v>
      </c>
    </row>
    <row r="41" spans="1:4" s="452" customFormat="1" ht="15.75">
      <c r="A41" s="813" t="s">
        <v>1098</v>
      </c>
      <c r="B41" s="814" t="s">
        <v>848</v>
      </c>
      <c r="C41" s="815">
        <v>0</v>
      </c>
      <c r="D41" s="815">
        <v>0</v>
      </c>
    </row>
    <row r="42" spans="1:4" s="452" customFormat="1" ht="15.75">
      <c r="A42" s="813" t="s">
        <v>1099</v>
      </c>
      <c r="B42" s="814" t="s">
        <v>849</v>
      </c>
      <c r="C42" s="815">
        <v>0</v>
      </c>
      <c r="D42" s="815">
        <v>0</v>
      </c>
    </row>
    <row r="43" spans="1:4" s="452" customFormat="1" ht="15.75">
      <c r="A43" s="813" t="s">
        <v>1100</v>
      </c>
      <c r="B43" s="814" t="s">
        <v>850</v>
      </c>
      <c r="C43" s="815">
        <v>0</v>
      </c>
      <c r="D43" s="815">
        <v>0</v>
      </c>
    </row>
    <row r="44" spans="1:4" s="452" customFormat="1" ht="15.75">
      <c r="A44" s="816" t="s">
        <v>1101</v>
      </c>
      <c r="B44" s="817" t="s">
        <v>851</v>
      </c>
      <c r="C44" s="818">
        <v>850848</v>
      </c>
      <c r="D44" s="818">
        <v>608616</v>
      </c>
    </row>
    <row r="45" spans="1:4" s="452" customFormat="1" ht="15.75">
      <c r="A45" s="813" t="s">
        <v>1102</v>
      </c>
      <c r="B45" s="814" t="s">
        <v>1103</v>
      </c>
      <c r="C45" s="815">
        <v>0</v>
      </c>
      <c r="D45" s="815">
        <v>0</v>
      </c>
    </row>
    <row r="46" spans="1:4" s="452" customFormat="1" ht="15.75">
      <c r="A46" s="813" t="s">
        <v>1104</v>
      </c>
      <c r="B46" s="814" t="s">
        <v>1105</v>
      </c>
      <c r="C46" s="815">
        <v>0</v>
      </c>
      <c r="D46" s="815">
        <v>0</v>
      </c>
    </row>
    <row r="47" spans="1:4" s="452" customFormat="1" ht="15.75">
      <c r="A47" s="813" t="s">
        <v>1106</v>
      </c>
      <c r="B47" s="814" t="s">
        <v>1107</v>
      </c>
      <c r="C47" s="815">
        <v>0</v>
      </c>
      <c r="D47" s="815">
        <v>0</v>
      </c>
    </row>
    <row r="48" spans="1:4" s="452" customFormat="1" ht="15.75">
      <c r="A48" s="813" t="s">
        <v>1108</v>
      </c>
      <c r="B48" s="814" t="s">
        <v>852</v>
      </c>
      <c r="C48" s="815">
        <v>0</v>
      </c>
      <c r="D48" s="815">
        <v>0</v>
      </c>
    </row>
    <row r="49" spans="1:4" s="452" customFormat="1" ht="15.75">
      <c r="A49" s="813" t="s">
        <v>1109</v>
      </c>
      <c r="B49" s="814" t="s">
        <v>853</v>
      </c>
      <c r="C49" s="815">
        <v>0</v>
      </c>
      <c r="D49" s="815">
        <v>0</v>
      </c>
    </row>
    <row r="50" spans="1:4" s="452" customFormat="1" ht="15.75">
      <c r="A50" s="813" t="s">
        <v>1110</v>
      </c>
      <c r="B50" s="814" t="s">
        <v>854</v>
      </c>
      <c r="C50" s="815">
        <v>0</v>
      </c>
      <c r="D50" s="815">
        <v>0</v>
      </c>
    </row>
    <row r="51" spans="1:4" s="452" customFormat="1" ht="15.75">
      <c r="A51" s="813" t="s">
        <v>1111</v>
      </c>
      <c r="B51" s="814" t="s">
        <v>855</v>
      </c>
      <c r="C51" s="815">
        <v>0</v>
      </c>
      <c r="D51" s="815">
        <v>0</v>
      </c>
    </row>
    <row r="52" spans="1:4" s="452" customFormat="1" ht="15.75">
      <c r="A52" s="813" t="s">
        <v>1112</v>
      </c>
      <c r="B52" s="814" t="s">
        <v>856</v>
      </c>
      <c r="C52" s="815">
        <v>0</v>
      </c>
      <c r="D52" s="815">
        <v>0</v>
      </c>
    </row>
    <row r="53" spans="1:4" s="452" customFormat="1" ht="15.75">
      <c r="A53" s="813" t="s">
        <v>1113</v>
      </c>
      <c r="B53" s="814" t="s">
        <v>857</v>
      </c>
      <c r="C53" s="815">
        <v>0</v>
      </c>
      <c r="D53" s="815">
        <v>0</v>
      </c>
    </row>
    <row r="54" spans="1:4" s="452" customFormat="1" ht="15.75">
      <c r="A54" s="816" t="s">
        <v>1114</v>
      </c>
      <c r="B54" s="817" t="s">
        <v>858</v>
      </c>
      <c r="C54" s="818">
        <v>0</v>
      </c>
      <c r="D54" s="818">
        <v>0</v>
      </c>
    </row>
    <row r="55" spans="1:4" s="452" customFormat="1" ht="15.75">
      <c r="A55" s="816" t="s">
        <v>1115</v>
      </c>
      <c r="B55" s="817" t="s">
        <v>859</v>
      </c>
      <c r="C55" s="818">
        <v>850848</v>
      </c>
      <c r="D55" s="818">
        <v>608616</v>
      </c>
    </row>
    <row r="56" spans="1:4" s="452" customFormat="1" ht="15.75">
      <c r="A56" s="813" t="s">
        <v>1116</v>
      </c>
      <c r="B56" s="814" t="s">
        <v>860</v>
      </c>
      <c r="C56" s="815">
        <v>0</v>
      </c>
      <c r="D56" s="815">
        <v>0</v>
      </c>
    </row>
    <row r="57" spans="1:4" s="452" customFormat="1" ht="15.75">
      <c r="A57" s="813" t="s">
        <v>1117</v>
      </c>
      <c r="B57" s="814" t="s">
        <v>861</v>
      </c>
      <c r="C57" s="815">
        <v>0</v>
      </c>
      <c r="D57" s="815">
        <v>0</v>
      </c>
    </row>
    <row r="58" spans="1:4" s="452" customFormat="1" ht="15.75">
      <c r="A58" s="816" t="s">
        <v>1118</v>
      </c>
      <c r="B58" s="817" t="s">
        <v>862</v>
      </c>
      <c r="C58" s="818">
        <v>0</v>
      </c>
      <c r="D58" s="818">
        <v>0</v>
      </c>
    </row>
    <row r="59" spans="1:4" s="452" customFormat="1" ht="15.75">
      <c r="A59" s="813" t="s">
        <v>1119</v>
      </c>
      <c r="B59" s="814" t="s">
        <v>863</v>
      </c>
      <c r="C59" s="815">
        <v>77760</v>
      </c>
      <c r="D59" s="815">
        <v>209505</v>
      </c>
    </row>
    <row r="60" spans="1:4" s="452" customFormat="1" ht="15.75">
      <c r="A60" s="813" t="s">
        <v>1120</v>
      </c>
      <c r="B60" s="814" t="s">
        <v>864</v>
      </c>
      <c r="C60" s="815">
        <v>0</v>
      </c>
      <c r="D60" s="815">
        <v>0</v>
      </c>
    </row>
    <row r="61" spans="1:4" s="452" customFormat="1" ht="15.75">
      <c r="A61" s="813" t="s">
        <v>1121</v>
      </c>
      <c r="B61" s="814" t="s">
        <v>865</v>
      </c>
      <c r="C61" s="815">
        <v>0</v>
      </c>
      <c r="D61" s="815">
        <v>0</v>
      </c>
    </row>
    <row r="62" spans="1:4" s="452" customFormat="1" ht="15.75">
      <c r="A62" s="816" t="s">
        <v>1122</v>
      </c>
      <c r="B62" s="817" t="s">
        <v>866</v>
      </c>
      <c r="C62" s="818">
        <v>77760</v>
      </c>
      <c r="D62" s="818">
        <v>209505</v>
      </c>
    </row>
    <row r="63" spans="1:4" s="452" customFormat="1" ht="15.75">
      <c r="A63" s="813" t="s">
        <v>1123</v>
      </c>
      <c r="B63" s="814" t="s">
        <v>867</v>
      </c>
      <c r="C63" s="815">
        <v>306925770</v>
      </c>
      <c r="D63" s="815">
        <v>289310177</v>
      </c>
    </row>
    <row r="64" spans="1:4" s="452" customFormat="1" ht="15.75">
      <c r="A64" s="813" t="s">
        <v>1124</v>
      </c>
      <c r="B64" s="814" t="s">
        <v>868</v>
      </c>
      <c r="C64" s="815">
        <v>25255767</v>
      </c>
      <c r="D64" s="815">
        <v>3021215</v>
      </c>
    </row>
    <row r="65" spans="1:4" s="452" customFormat="1" ht="15.75">
      <c r="A65" s="816" t="s">
        <v>1125</v>
      </c>
      <c r="B65" s="817" t="s">
        <v>869</v>
      </c>
      <c r="C65" s="818">
        <v>332181537</v>
      </c>
      <c r="D65" s="818">
        <v>292331392</v>
      </c>
    </row>
    <row r="66" spans="1:4" s="452" customFormat="1" ht="15.75">
      <c r="A66" s="813" t="s">
        <v>1126</v>
      </c>
      <c r="B66" s="814" t="s">
        <v>870</v>
      </c>
      <c r="C66" s="815">
        <v>0</v>
      </c>
      <c r="D66" s="815">
        <v>0</v>
      </c>
    </row>
    <row r="67" spans="1:4" s="452" customFormat="1" ht="15.75">
      <c r="A67" s="813" t="s">
        <v>1127</v>
      </c>
      <c r="B67" s="814" t="s">
        <v>871</v>
      </c>
      <c r="C67" s="815">
        <v>0</v>
      </c>
      <c r="D67" s="815">
        <v>0</v>
      </c>
    </row>
    <row r="68" spans="1:4" s="452" customFormat="1" ht="15.75">
      <c r="A68" s="816" t="s">
        <v>1128</v>
      </c>
      <c r="B68" s="817" t="s">
        <v>872</v>
      </c>
      <c r="C68" s="818">
        <v>0</v>
      </c>
      <c r="D68" s="818">
        <v>0</v>
      </c>
    </row>
    <row r="69" spans="1:4" s="452" customFormat="1" ht="15.75">
      <c r="A69" s="816" t="s">
        <v>1129</v>
      </c>
      <c r="B69" s="817" t="s">
        <v>873</v>
      </c>
      <c r="C69" s="818">
        <v>332259297</v>
      </c>
      <c r="D69" s="818">
        <v>292540897</v>
      </c>
    </row>
    <row r="70" spans="1:4" s="452" customFormat="1" ht="21">
      <c r="A70" s="813" t="s">
        <v>1130</v>
      </c>
      <c r="B70" s="814" t="s">
        <v>874</v>
      </c>
      <c r="C70" s="815">
        <v>0</v>
      </c>
      <c r="D70" s="815">
        <v>0</v>
      </c>
    </row>
    <row r="71" spans="1:4" s="452" customFormat="1" ht="21">
      <c r="A71" s="813" t="s">
        <v>1131</v>
      </c>
      <c r="B71" s="814" t="s">
        <v>875</v>
      </c>
      <c r="C71" s="815">
        <v>0</v>
      </c>
      <c r="D71" s="815">
        <v>0</v>
      </c>
    </row>
    <row r="72" spans="1:4" ht="21">
      <c r="A72" s="813" t="s">
        <v>1132</v>
      </c>
      <c r="B72" s="814" t="s">
        <v>876</v>
      </c>
      <c r="C72" s="815">
        <v>0</v>
      </c>
      <c r="D72" s="815">
        <v>0</v>
      </c>
    </row>
    <row r="73" spans="1:4" ht="21">
      <c r="A73" s="813" t="s">
        <v>1133</v>
      </c>
      <c r="B73" s="814" t="s">
        <v>877</v>
      </c>
      <c r="C73" s="815">
        <v>0</v>
      </c>
      <c r="D73" s="815">
        <v>0</v>
      </c>
    </row>
    <row r="74" spans="1:4" ht="15.75">
      <c r="A74" s="813" t="s">
        <v>1134</v>
      </c>
      <c r="B74" s="814" t="s">
        <v>878</v>
      </c>
      <c r="C74" s="815">
        <v>20438834</v>
      </c>
      <c r="D74" s="815">
        <v>9134233</v>
      </c>
    </row>
    <row r="75" spans="1:4" ht="15.75">
      <c r="A75" s="813" t="s">
        <v>1135</v>
      </c>
      <c r="B75" s="814" t="s">
        <v>879</v>
      </c>
      <c r="C75" s="815">
        <v>0</v>
      </c>
      <c r="D75" s="815">
        <v>0</v>
      </c>
    </row>
    <row r="76" spans="1:4" ht="21">
      <c r="A76" s="813" t="s">
        <v>1136</v>
      </c>
      <c r="B76" s="814" t="s">
        <v>880</v>
      </c>
      <c r="C76" s="815">
        <v>0</v>
      </c>
      <c r="D76" s="815">
        <v>0</v>
      </c>
    </row>
    <row r="77" spans="1:4" ht="21">
      <c r="A77" s="813" t="s">
        <v>1137</v>
      </c>
      <c r="B77" s="814" t="s">
        <v>881</v>
      </c>
      <c r="C77" s="815">
        <v>0</v>
      </c>
      <c r="D77" s="815">
        <v>0</v>
      </c>
    </row>
    <row r="78" spans="1:4" ht="15.75">
      <c r="A78" s="813" t="s">
        <v>1138</v>
      </c>
      <c r="B78" s="814" t="s">
        <v>882</v>
      </c>
      <c r="C78" s="815">
        <v>11915363</v>
      </c>
      <c r="D78" s="815">
        <v>5815737</v>
      </c>
    </row>
    <row r="79" spans="1:4" ht="15.75">
      <c r="A79" s="813" t="s">
        <v>1139</v>
      </c>
      <c r="B79" s="814" t="s">
        <v>883</v>
      </c>
      <c r="C79" s="815">
        <v>6035734</v>
      </c>
      <c r="D79" s="815">
        <v>1904580</v>
      </c>
    </row>
    <row r="80" spans="1:4" ht="15.75">
      <c r="A80" s="813" t="s">
        <v>1140</v>
      </c>
      <c r="B80" s="814" t="s">
        <v>884</v>
      </c>
      <c r="C80" s="815">
        <v>2487737</v>
      </c>
      <c r="D80" s="815">
        <v>1413916</v>
      </c>
    </row>
    <row r="81" spans="1:4" ht="15.75">
      <c r="A81" s="813" t="s">
        <v>1141</v>
      </c>
      <c r="B81" s="814" t="s">
        <v>885</v>
      </c>
      <c r="C81" s="815">
        <v>1151063</v>
      </c>
      <c r="D81" s="815">
        <v>1584106</v>
      </c>
    </row>
    <row r="82" spans="1:4" ht="21">
      <c r="A82" s="813" t="s">
        <v>1142</v>
      </c>
      <c r="B82" s="814" t="s">
        <v>886</v>
      </c>
      <c r="C82" s="815">
        <v>363006</v>
      </c>
      <c r="D82" s="815">
        <v>669707</v>
      </c>
    </row>
    <row r="83" spans="1:4" ht="15.75">
      <c r="A83" s="813" t="s">
        <v>1143</v>
      </c>
      <c r="B83" s="814" t="s">
        <v>887</v>
      </c>
      <c r="C83" s="815">
        <v>121032</v>
      </c>
      <c r="D83" s="815">
        <v>71516</v>
      </c>
    </row>
    <row r="84" spans="1:4" ht="15.75">
      <c r="A84" s="813" t="s">
        <v>1144</v>
      </c>
      <c r="B84" s="814" t="s">
        <v>888</v>
      </c>
      <c r="C84" s="815">
        <v>407772</v>
      </c>
      <c r="D84" s="815">
        <v>440874</v>
      </c>
    </row>
    <row r="85" spans="1:4" ht="15.75">
      <c r="A85" s="813" t="s">
        <v>1145</v>
      </c>
      <c r="B85" s="814" t="s">
        <v>889</v>
      </c>
      <c r="C85" s="815">
        <v>259253</v>
      </c>
      <c r="D85" s="815">
        <v>402009</v>
      </c>
    </row>
    <row r="86" spans="1:4" ht="15.75">
      <c r="A86" s="813" t="s">
        <v>1146</v>
      </c>
      <c r="B86" s="814" t="s">
        <v>890</v>
      </c>
      <c r="C86" s="815">
        <v>0</v>
      </c>
      <c r="D86" s="815">
        <v>0</v>
      </c>
    </row>
    <row r="87" spans="1:4" ht="21">
      <c r="A87" s="813" t="s">
        <v>1147</v>
      </c>
      <c r="B87" s="814" t="s">
        <v>891</v>
      </c>
      <c r="C87" s="815">
        <v>0</v>
      </c>
      <c r="D87" s="815">
        <v>0</v>
      </c>
    </row>
    <row r="88" spans="1:4" ht="15.75">
      <c r="A88" s="813" t="s">
        <v>1148</v>
      </c>
      <c r="B88" s="814" t="s">
        <v>892</v>
      </c>
      <c r="C88" s="815">
        <v>0</v>
      </c>
      <c r="D88" s="815">
        <v>0</v>
      </c>
    </row>
    <row r="89" spans="1:4" ht="15.75">
      <c r="A89" s="813" t="s">
        <v>1149</v>
      </c>
      <c r="B89" s="814" t="s">
        <v>893</v>
      </c>
      <c r="C89" s="815">
        <v>0</v>
      </c>
      <c r="D89" s="815">
        <v>0</v>
      </c>
    </row>
    <row r="90" spans="1:4" ht="15.75">
      <c r="A90" s="813" t="s">
        <v>1150</v>
      </c>
      <c r="B90" s="814" t="s">
        <v>894</v>
      </c>
      <c r="C90" s="815">
        <v>0</v>
      </c>
      <c r="D90" s="815">
        <v>0</v>
      </c>
    </row>
    <row r="91" spans="1:4" ht="15.75">
      <c r="A91" s="813" t="s">
        <v>1151</v>
      </c>
      <c r="B91" s="814" t="s">
        <v>895</v>
      </c>
      <c r="C91" s="815">
        <v>0</v>
      </c>
      <c r="D91" s="815">
        <v>0</v>
      </c>
    </row>
    <row r="92" spans="1:4" ht="15.75">
      <c r="A92" s="813" t="s">
        <v>1152</v>
      </c>
      <c r="B92" s="814" t="s">
        <v>896</v>
      </c>
      <c r="C92" s="815">
        <v>0</v>
      </c>
      <c r="D92" s="815">
        <v>0</v>
      </c>
    </row>
    <row r="93" spans="1:4" ht="15.75">
      <c r="A93" s="813" t="s">
        <v>1153</v>
      </c>
      <c r="B93" s="814" t="s">
        <v>897</v>
      </c>
      <c r="C93" s="815">
        <v>0</v>
      </c>
      <c r="D93" s="815">
        <v>0</v>
      </c>
    </row>
    <row r="94" spans="1:4" ht="15.75">
      <c r="A94" s="813" t="s">
        <v>1154</v>
      </c>
      <c r="B94" s="814" t="s">
        <v>898</v>
      </c>
      <c r="C94" s="815">
        <v>0</v>
      </c>
      <c r="D94" s="815">
        <v>0</v>
      </c>
    </row>
    <row r="95" spans="1:4" ht="15.75">
      <c r="A95" s="813" t="s">
        <v>1155</v>
      </c>
      <c r="B95" s="814" t="s">
        <v>899</v>
      </c>
      <c r="C95" s="815">
        <v>0</v>
      </c>
      <c r="D95" s="815">
        <v>0</v>
      </c>
    </row>
    <row r="96" spans="1:4" ht="21">
      <c r="A96" s="813" t="s">
        <v>1156</v>
      </c>
      <c r="B96" s="814" t="s">
        <v>900</v>
      </c>
      <c r="C96" s="815">
        <v>0</v>
      </c>
      <c r="D96" s="815">
        <v>0</v>
      </c>
    </row>
    <row r="97" spans="1:4" ht="21">
      <c r="A97" s="813" t="s">
        <v>1157</v>
      </c>
      <c r="B97" s="814" t="s">
        <v>901</v>
      </c>
      <c r="C97" s="815">
        <v>0</v>
      </c>
      <c r="D97" s="815">
        <v>0</v>
      </c>
    </row>
    <row r="98" spans="1:4" ht="21">
      <c r="A98" s="813" t="s">
        <v>1158</v>
      </c>
      <c r="B98" s="814" t="s">
        <v>902</v>
      </c>
      <c r="C98" s="815">
        <v>0</v>
      </c>
      <c r="D98" s="815">
        <v>0</v>
      </c>
    </row>
    <row r="99" spans="1:4" ht="21">
      <c r="A99" s="813" t="s">
        <v>1159</v>
      </c>
      <c r="B99" s="814" t="s">
        <v>903</v>
      </c>
      <c r="C99" s="815">
        <v>0</v>
      </c>
      <c r="D99" s="815">
        <v>0</v>
      </c>
    </row>
    <row r="100" spans="1:4" ht="21">
      <c r="A100" s="813" t="s">
        <v>1160</v>
      </c>
      <c r="B100" s="814" t="s">
        <v>904</v>
      </c>
      <c r="C100" s="815">
        <v>0</v>
      </c>
      <c r="D100" s="815">
        <v>0</v>
      </c>
    </row>
    <row r="101" spans="1:4" ht="21">
      <c r="A101" s="813" t="s">
        <v>1161</v>
      </c>
      <c r="B101" s="814" t="s">
        <v>905</v>
      </c>
      <c r="C101" s="815">
        <v>1659575</v>
      </c>
      <c r="D101" s="815">
        <v>1087100</v>
      </c>
    </row>
    <row r="102" spans="1:4" ht="21">
      <c r="A102" s="813" t="s">
        <v>1162</v>
      </c>
      <c r="B102" s="814" t="s">
        <v>906</v>
      </c>
      <c r="C102" s="815">
        <v>0</v>
      </c>
      <c r="D102" s="815">
        <v>0</v>
      </c>
    </row>
    <row r="103" spans="1:4" ht="21">
      <c r="A103" s="813" t="s">
        <v>1163</v>
      </c>
      <c r="B103" s="814" t="s">
        <v>907</v>
      </c>
      <c r="C103" s="815">
        <v>0</v>
      </c>
      <c r="D103" s="815">
        <v>0</v>
      </c>
    </row>
    <row r="104" spans="1:4" ht="21">
      <c r="A104" s="813" t="s">
        <v>1164</v>
      </c>
      <c r="B104" s="814" t="s">
        <v>908</v>
      </c>
      <c r="C104" s="815">
        <v>1659575</v>
      </c>
      <c r="D104" s="815">
        <v>1087100</v>
      </c>
    </row>
    <row r="105" spans="1:4" ht="15.75">
      <c r="A105" s="813" t="s">
        <v>1165</v>
      </c>
      <c r="B105" s="814" t="s">
        <v>909</v>
      </c>
      <c r="C105" s="815">
        <v>0</v>
      </c>
      <c r="D105" s="815">
        <v>0</v>
      </c>
    </row>
    <row r="106" spans="1:4" ht="21">
      <c r="A106" s="813" t="s">
        <v>1166</v>
      </c>
      <c r="B106" s="814" t="s">
        <v>910</v>
      </c>
      <c r="C106" s="815">
        <v>0</v>
      </c>
      <c r="D106" s="815">
        <v>0</v>
      </c>
    </row>
    <row r="107" spans="1:4" ht="21">
      <c r="A107" s="813" t="s">
        <v>1167</v>
      </c>
      <c r="B107" s="814" t="s">
        <v>911</v>
      </c>
      <c r="C107" s="815">
        <v>0</v>
      </c>
      <c r="D107" s="815">
        <v>0</v>
      </c>
    </row>
    <row r="108" spans="1:4" ht="21">
      <c r="A108" s="813" t="s">
        <v>1168</v>
      </c>
      <c r="B108" s="814" t="s">
        <v>912</v>
      </c>
      <c r="C108" s="815">
        <v>0</v>
      </c>
      <c r="D108" s="815">
        <v>0</v>
      </c>
    </row>
    <row r="109" spans="1:4" ht="21">
      <c r="A109" s="813" t="s">
        <v>1169</v>
      </c>
      <c r="B109" s="814" t="s">
        <v>913</v>
      </c>
      <c r="C109" s="815">
        <v>0</v>
      </c>
      <c r="D109" s="815">
        <v>0</v>
      </c>
    </row>
    <row r="110" spans="1:4" ht="21">
      <c r="A110" s="813" t="s">
        <v>1170</v>
      </c>
      <c r="B110" s="814" t="s">
        <v>914</v>
      </c>
      <c r="C110" s="815">
        <v>0</v>
      </c>
      <c r="D110" s="815">
        <v>0</v>
      </c>
    </row>
    <row r="111" spans="1:4" ht="21">
      <c r="A111" s="813" t="s">
        <v>1171</v>
      </c>
      <c r="B111" s="814" t="s">
        <v>915</v>
      </c>
      <c r="C111" s="815">
        <v>0</v>
      </c>
      <c r="D111" s="815">
        <v>0</v>
      </c>
    </row>
    <row r="112" spans="1:4" ht="21">
      <c r="A112" s="813" t="s">
        <v>1172</v>
      </c>
      <c r="B112" s="814" t="s">
        <v>916</v>
      </c>
      <c r="C112" s="815">
        <v>0</v>
      </c>
      <c r="D112" s="815">
        <v>0</v>
      </c>
    </row>
    <row r="113" spans="1:4" ht="15.75">
      <c r="A113" s="816" t="s">
        <v>1173</v>
      </c>
      <c r="B113" s="817" t="s">
        <v>917</v>
      </c>
      <c r="C113" s="818">
        <v>23249472</v>
      </c>
      <c r="D113" s="818">
        <v>11805439</v>
      </c>
    </row>
    <row r="114" spans="1:4" ht="21">
      <c r="A114" s="813" t="s">
        <v>1174</v>
      </c>
      <c r="B114" s="814" t="s">
        <v>918</v>
      </c>
      <c r="C114" s="815">
        <v>0</v>
      </c>
      <c r="D114" s="815">
        <v>0</v>
      </c>
    </row>
    <row r="115" spans="1:4" ht="21">
      <c r="A115" s="813" t="s">
        <v>1175</v>
      </c>
      <c r="B115" s="814" t="s">
        <v>919</v>
      </c>
      <c r="C115" s="815">
        <v>0</v>
      </c>
      <c r="D115" s="815">
        <v>0</v>
      </c>
    </row>
    <row r="116" spans="1:4" ht="21">
      <c r="A116" s="813" t="s">
        <v>1176</v>
      </c>
      <c r="B116" s="814" t="s">
        <v>920</v>
      </c>
      <c r="C116" s="815">
        <v>0</v>
      </c>
      <c r="D116" s="815">
        <v>0</v>
      </c>
    </row>
    <row r="117" spans="1:4" ht="21">
      <c r="A117" s="813" t="s">
        <v>1177</v>
      </c>
      <c r="B117" s="814" t="s">
        <v>921</v>
      </c>
      <c r="C117" s="815">
        <v>0</v>
      </c>
      <c r="D117" s="815">
        <v>0</v>
      </c>
    </row>
    <row r="118" spans="1:4" ht="21">
      <c r="A118" s="813" t="s">
        <v>1178</v>
      </c>
      <c r="B118" s="814" t="s">
        <v>922</v>
      </c>
      <c r="C118" s="815">
        <v>0</v>
      </c>
      <c r="D118" s="815">
        <v>0</v>
      </c>
    </row>
    <row r="119" spans="1:4" ht="15.75">
      <c r="A119" s="813" t="s">
        <v>1179</v>
      </c>
      <c r="B119" s="814" t="s">
        <v>923</v>
      </c>
      <c r="C119" s="815">
        <v>0</v>
      </c>
      <c r="D119" s="815">
        <v>0</v>
      </c>
    </row>
    <row r="120" spans="1:4" ht="21">
      <c r="A120" s="813" t="s">
        <v>1180</v>
      </c>
      <c r="B120" s="814" t="s">
        <v>924</v>
      </c>
      <c r="C120" s="815">
        <v>0</v>
      </c>
      <c r="D120" s="815">
        <v>0</v>
      </c>
    </row>
    <row r="121" spans="1:4" ht="21">
      <c r="A121" s="813" t="s">
        <v>1181</v>
      </c>
      <c r="B121" s="814" t="s">
        <v>925</v>
      </c>
      <c r="C121" s="815">
        <v>0</v>
      </c>
      <c r="D121" s="815">
        <v>0</v>
      </c>
    </row>
    <row r="122" spans="1:4" ht="15.75">
      <c r="A122" s="813" t="s">
        <v>1182</v>
      </c>
      <c r="B122" s="814" t="s">
        <v>926</v>
      </c>
      <c r="C122" s="815">
        <v>0</v>
      </c>
      <c r="D122" s="815">
        <v>0</v>
      </c>
    </row>
    <row r="123" spans="1:4" ht="15.75">
      <c r="A123" s="813" t="s">
        <v>1183</v>
      </c>
      <c r="B123" s="814" t="s">
        <v>927</v>
      </c>
      <c r="C123" s="815">
        <v>0</v>
      </c>
      <c r="D123" s="815">
        <v>0</v>
      </c>
    </row>
    <row r="124" spans="1:4" ht="15.75">
      <c r="A124" s="813" t="s">
        <v>1184</v>
      </c>
      <c r="B124" s="814" t="s">
        <v>928</v>
      </c>
      <c r="C124" s="815">
        <v>0</v>
      </c>
      <c r="D124" s="815">
        <v>0</v>
      </c>
    </row>
    <row r="125" spans="1:4" ht="15.75">
      <c r="A125" s="813" t="s">
        <v>1185</v>
      </c>
      <c r="B125" s="814" t="s">
        <v>929</v>
      </c>
      <c r="C125" s="815">
        <v>657352</v>
      </c>
      <c r="D125" s="815">
        <v>0</v>
      </c>
    </row>
    <row r="126" spans="1:4" ht="21">
      <c r="A126" s="813" t="s">
        <v>1186</v>
      </c>
      <c r="B126" s="814" t="s">
        <v>930</v>
      </c>
      <c r="C126" s="815">
        <v>471600</v>
      </c>
      <c r="D126" s="815">
        <v>0</v>
      </c>
    </row>
    <row r="127" spans="1:4" ht="15.75">
      <c r="A127" s="813" t="s">
        <v>1187</v>
      </c>
      <c r="B127" s="814" t="s">
        <v>931</v>
      </c>
      <c r="C127" s="815">
        <v>46000</v>
      </c>
      <c r="D127" s="815">
        <v>0</v>
      </c>
    </row>
    <row r="128" spans="1:4" ht="15.75">
      <c r="A128" s="813" t="s">
        <v>1188</v>
      </c>
      <c r="B128" s="814" t="s">
        <v>932</v>
      </c>
      <c r="C128" s="815">
        <v>0</v>
      </c>
      <c r="D128" s="815">
        <v>0</v>
      </c>
    </row>
    <row r="129" spans="1:4" ht="21">
      <c r="A129" s="813" t="s">
        <v>1189</v>
      </c>
      <c r="B129" s="814" t="s">
        <v>933</v>
      </c>
      <c r="C129" s="815">
        <v>139752</v>
      </c>
      <c r="D129" s="815">
        <v>0</v>
      </c>
    </row>
    <row r="130" spans="1:4" ht="21">
      <c r="A130" s="813" t="s">
        <v>1190</v>
      </c>
      <c r="B130" s="814" t="s">
        <v>934</v>
      </c>
      <c r="C130" s="815">
        <v>0</v>
      </c>
      <c r="D130" s="815">
        <v>0</v>
      </c>
    </row>
    <row r="131" spans="1:4" ht="21">
      <c r="A131" s="813" t="s">
        <v>1191</v>
      </c>
      <c r="B131" s="814" t="s">
        <v>935</v>
      </c>
      <c r="C131" s="815">
        <v>0</v>
      </c>
      <c r="D131" s="815">
        <v>0</v>
      </c>
    </row>
    <row r="132" spans="1:4" ht="21">
      <c r="A132" s="813" t="s">
        <v>1192</v>
      </c>
      <c r="B132" s="814" t="s">
        <v>936</v>
      </c>
      <c r="C132" s="815">
        <v>0</v>
      </c>
      <c r="D132" s="815">
        <v>0</v>
      </c>
    </row>
    <row r="133" spans="1:4" ht="15.75">
      <c r="A133" s="813" t="s">
        <v>1193</v>
      </c>
      <c r="B133" s="814" t="s">
        <v>937</v>
      </c>
      <c r="C133" s="815">
        <v>0</v>
      </c>
      <c r="D133" s="815">
        <v>0</v>
      </c>
    </row>
    <row r="134" spans="1:4" ht="15.75">
      <c r="A134" s="813" t="s">
        <v>1194</v>
      </c>
      <c r="B134" s="814" t="s">
        <v>938</v>
      </c>
      <c r="C134" s="815">
        <v>0</v>
      </c>
      <c r="D134" s="815">
        <v>0</v>
      </c>
    </row>
    <row r="135" spans="1:4" ht="21">
      <c r="A135" s="813" t="s">
        <v>1195</v>
      </c>
      <c r="B135" s="814" t="s">
        <v>939</v>
      </c>
      <c r="C135" s="815">
        <v>0</v>
      </c>
      <c r="D135" s="815">
        <v>0</v>
      </c>
    </row>
    <row r="136" spans="1:4" ht="15.75">
      <c r="A136" s="813" t="s">
        <v>1196</v>
      </c>
      <c r="B136" s="814" t="s">
        <v>940</v>
      </c>
      <c r="C136" s="815">
        <v>0</v>
      </c>
      <c r="D136" s="815">
        <v>0</v>
      </c>
    </row>
    <row r="137" spans="1:4" ht="15.75">
      <c r="A137" s="813" t="s">
        <v>1197</v>
      </c>
      <c r="B137" s="814" t="s">
        <v>941</v>
      </c>
      <c r="C137" s="815">
        <v>0</v>
      </c>
      <c r="D137" s="815">
        <v>0</v>
      </c>
    </row>
    <row r="138" spans="1:4" ht="21">
      <c r="A138" s="813" t="s">
        <v>1198</v>
      </c>
      <c r="B138" s="814" t="s">
        <v>942</v>
      </c>
      <c r="C138" s="815">
        <v>0</v>
      </c>
      <c r="D138" s="815">
        <v>0</v>
      </c>
    </row>
    <row r="139" spans="1:4" ht="15.75">
      <c r="A139" s="813" t="s">
        <v>1199</v>
      </c>
      <c r="B139" s="814" t="s">
        <v>943</v>
      </c>
      <c r="C139" s="815">
        <v>0</v>
      </c>
      <c r="D139" s="815">
        <v>0</v>
      </c>
    </row>
    <row r="140" spans="1:4" ht="21">
      <c r="A140" s="813" t="s">
        <v>1200</v>
      </c>
      <c r="B140" s="814" t="s">
        <v>944</v>
      </c>
      <c r="C140" s="815">
        <v>0</v>
      </c>
      <c r="D140" s="815">
        <v>0</v>
      </c>
    </row>
    <row r="141" spans="1:4" ht="21">
      <c r="A141" s="813" t="s">
        <v>1201</v>
      </c>
      <c r="B141" s="814" t="s">
        <v>945</v>
      </c>
      <c r="C141" s="815">
        <v>0</v>
      </c>
      <c r="D141" s="815">
        <v>0</v>
      </c>
    </row>
    <row r="142" spans="1:4" ht="21">
      <c r="A142" s="813" t="s">
        <v>1202</v>
      </c>
      <c r="B142" s="814" t="s">
        <v>946</v>
      </c>
      <c r="C142" s="815">
        <v>0</v>
      </c>
      <c r="D142" s="815">
        <v>0</v>
      </c>
    </row>
    <row r="143" spans="1:4" ht="21">
      <c r="A143" s="813" t="s">
        <v>1203</v>
      </c>
      <c r="B143" s="814" t="s">
        <v>947</v>
      </c>
      <c r="C143" s="815">
        <v>0</v>
      </c>
      <c r="D143" s="815">
        <v>0</v>
      </c>
    </row>
    <row r="144" spans="1:4" ht="21">
      <c r="A144" s="813" t="s">
        <v>1204</v>
      </c>
      <c r="B144" s="814" t="s">
        <v>948</v>
      </c>
      <c r="C144" s="815">
        <v>0</v>
      </c>
      <c r="D144" s="815">
        <v>0</v>
      </c>
    </row>
    <row r="145" spans="1:4" ht="21">
      <c r="A145" s="813" t="s">
        <v>1205</v>
      </c>
      <c r="B145" s="814" t="s">
        <v>949</v>
      </c>
      <c r="C145" s="815">
        <v>2188369</v>
      </c>
      <c r="D145" s="815">
        <v>276469</v>
      </c>
    </row>
    <row r="146" spans="1:4" ht="21">
      <c r="A146" s="813" t="s">
        <v>1206</v>
      </c>
      <c r="B146" s="814" t="s">
        <v>950</v>
      </c>
      <c r="C146" s="815">
        <v>0</v>
      </c>
      <c r="D146" s="815">
        <v>0</v>
      </c>
    </row>
    <row r="147" spans="1:4" ht="21">
      <c r="A147" s="813" t="s">
        <v>1207</v>
      </c>
      <c r="B147" s="814" t="s">
        <v>951</v>
      </c>
      <c r="C147" s="815">
        <v>0</v>
      </c>
      <c r="D147" s="815">
        <v>0</v>
      </c>
    </row>
    <row r="148" spans="1:4" ht="21">
      <c r="A148" s="813" t="s">
        <v>1208</v>
      </c>
      <c r="B148" s="814" t="s">
        <v>952</v>
      </c>
      <c r="C148" s="815">
        <v>2188369</v>
      </c>
      <c r="D148" s="815">
        <v>276469</v>
      </c>
    </row>
    <row r="149" spans="1:4" ht="21">
      <c r="A149" s="813" t="s">
        <v>1209</v>
      </c>
      <c r="B149" s="814" t="s">
        <v>953</v>
      </c>
      <c r="C149" s="815">
        <v>0</v>
      </c>
      <c r="D149" s="815">
        <v>0</v>
      </c>
    </row>
    <row r="150" spans="1:4" ht="21">
      <c r="A150" s="813" t="s">
        <v>1210</v>
      </c>
      <c r="B150" s="814" t="s">
        <v>954</v>
      </c>
      <c r="C150" s="815">
        <v>0</v>
      </c>
      <c r="D150" s="815">
        <v>0</v>
      </c>
    </row>
    <row r="151" spans="1:4" ht="21">
      <c r="A151" s="813" t="s">
        <v>1211</v>
      </c>
      <c r="B151" s="814" t="s">
        <v>955</v>
      </c>
      <c r="C151" s="815">
        <v>0</v>
      </c>
      <c r="D151" s="815">
        <v>0</v>
      </c>
    </row>
    <row r="152" spans="1:4" ht="21">
      <c r="A152" s="813" t="s">
        <v>1212</v>
      </c>
      <c r="B152" s="814" t="s">
        <v>956</v>
      </c>
      <c r="C152" s="815">
        <v>0</v>
      </c>
      <c r="D152" s="815">
        <v>0</v>
      </c>
    </row>
    <row r="153" spans="1:4" ht="21">
      <c r="A153" s="813" t="s">
        <v>1213</v>
      </c>
      <c r="B153" s="814" t="s">
        <v>957</v>
      </c>
      <c r="C153" s="815">
        <v>0</v>
      </c>
      <c r="D153" s="815">
        <v>0</v>
      </c>
    </row>
    <row r="154" spans="1:4" ht="15.75">
      <c r="A154" s="816" t="s">
        <v>1214</v>
      </c>
      <c r="B154" s="817" t="s">
        <v>958</v>
      </c>
      <c r="C154" s="818">
        <v>2845721</v>
      </c>
      <c r="D154" s="818">
        <v>276469</v>
      </c>
    </row>
    <row r="155" spans="1:4" ht="15.75">
      <c r="A155" s="813" t="s">
        <v>1215</v>
      </c>
      <c r="B155" s="814" t="s">
        <v>959</v>
      </c>
      <c r="C155" s="815">
        <v>0</v>
      </c>
      <c r="D155" s="815">
        <v>20000</v>
      </c>
    </row>
    <row r="156" spans="1:4" ht="15.75">
      <c r="A156" s="813" t="s">
        <v>1216</v>
      </c>
      <c r="B156" s="814" t="s">
        <v>960</v>
      </c>
      <c r="C156" s="815">
        <v>0</v>
      </c>
      <c r="D156" s="815">
        <v>0</v>
      </c>
    </row>
    <row r="157" spans="1:4" ht="15.75">
      <c r="A157" s="813" t="s">
        <v>1217</v>
      </c>
      <c r="B157" s="814" t="s">
        <v>961</v>
      </c>
      <c r="C157" s="815">
        <v>0</v>
      </c>
      <c r="D157" s="815">
        <v>0</v>
      </c>
    </row>
    <row r="158" spans="1:4" ht="15.75">
      <c r="A158" s="813" t="s">
        <v>1218</v>
      </c>
      <c r="B158" s="814" t="s">
        <v>962</v>
      </c>
      <c r="C158" s="815">
        <v>0</v>
      </c>
      <c r="D158" s="815">
        <v>20000</v>
      </c>
    </row>
    <row r="159" spans="1:4" ht="15.75">
      <c r="A159" s="813" t="s">
        <v>1219</v>
      </c>
      <c r="B159" s="814" t="s">
        <v>963</v>
      </c>
      <c r="C159" s="815">
        <v>0</v>
      </c>
      <c r="D159" s="815">
        <v>0</v>
      </c>
    </row>
    <row r="160" spans="1:4" ht="15.75">
      <c r="A160" s="813" t="s">
        <v>1220</v>
      </c>
      <c r="B160" s="814" t="s">
        <v>964</v>
      </c>
      <c r="C160" s="815">
        <v>0</v>
      </c>
      <c r="D160" s="815">
        <v>0</v>
      </c>
    </row>
    <row r="161" spans="1:4" ht="15.75">
      <c r="A161" s="813" t="s">
        <v>1221</v>
      </c>
      <c r="B161" s="814" t="s">
        <v>965</v>
      </c>
      <c r="C161" s="815">
        <v>0</v>
      </c>
      <c r="D161" s="815">
        <v>0</v>
      </c>
    </row>
    <row r="162" spans="1:4" ht="15.75">
      <c r="A162" s="813" t="s">
        <v>1222</v>
      </c>
      <c r="B162" s="814" t="s">
        <v>966</v>
      </c>
      <c r="C162" s="815">
        <v>0</v>
      </c>
      <c r="D162" s="815">
        <v>0</v>
      </c>
    </row>
    <row r="163" spans="1:4" ht="15.75">
      <c r="A163" s="813" t="s">
        <v>1223</v>
      </c>
      <c r="B163" s="814" t="s">
        <v>967</v>
      </c>
      <c r="C163" s="815">
        <v>0</v>
      </c>
      <c r="D163" s="815">
        <v>0</v>
      </c>
    </row>
    <row r="164" spans="1:4" ht="15.75">
      <c r="A164" s="813" t="s">
        <v>1224</v>
      </c>
      <c r="B164" s="814" t="s">
        <v>968</v>
      </c>
      <c r="C164" s="815">
        <v>114000</v>
      </c>
      <c r="D164" s="815">
        <v>218000</v>
      </c>
    </row>
    <row r="165" spans="1:4" ht="15.75">
      <c r="A165" s="813" t="s">
        <v>1225</v>
      </c>
      <c r="B165" s="814" t="s">
        <v>969</v>
      </c>
      <c r="C165" s="815">
        <v>0</v>
      </c>
      <c r="D165" s="815">
        <v>0</v>
      </c>
    </row>
    <row r="166" spans="1:4" ht="21">
      <c r="A166" s="813" t="s">
        <v>1226</v>
      </c>
      <c r="B166" s="814" t="s">
        <v>970</v>
      </c>
      <c r="C166" s="815">
        <v>0</v>
      </c>
      <c r="D166" s="815">
        <v>0</v>
      </c>
    </row>
    <row r="167" spans="1:4" ht="15.75">
      <c r="A167" s="813" t="s">
        <v>1227</v>
      </c>
      <c r="B167" s="814" t="s">
        <v>971</v>
      </c>
      <c r="C167" s="815">
        <v>0</v>
      </c>
      <c r="D167" s="815">
        <v>0</v>
      </c>
    </row>
    <row r="168" spans="1:4" ht="15.75">
      <c r="A168" s="813" t="s">
        <v>1228</v>
      </c>
      <c r="B168" s="814" t="s">
        <v>972</v>
      </c>
      <c r="C168" s="815">
        <v>0</v>
      </c>
      <c r="D168" s="815">
        <v>0</v>
      </c>
    </row>
    <row r="169" spans="1:4" ht="15.75">
      <c r="A169" s="813" t="s">
        <v>1229</v>
      </c>
      <c r="B169" s="814" t="s">
        <v>973</v>
      </c>
      <c r="C169" s="815">
        <v>0</v>
      </c>
      <c r="D169" s="815">
        <v>0</v>
      </c>
    </row>
    <row r="170" spans="1:4" ht="15.75">
      <c r="A170" s="816" t="s">
        <v>1230</v>
      </c>
      <c r="B170" s="817" t="s">
        <v>974</v>
      </c>
      <c r="C170" s="818">
        <v>114000</v>
      </c>
      <c r="D170" s="818">
        <v>238000</v>
      </c>
    </row>
    <row r="171" spans="1:4" ht="15.75">
      <c r="A171" s="816" t="s">
        <v>1231</v>
      </c>
      <c r="B171" s="817" t="s">
        <v>975</v>
      </c>
      <c r="C171" s="818">
        <v>26209193</v>
      </c>
      <c r="D171" s="818">
        <v>12319908</v>
      </c>
    </row>
    <row r="172" spans="1:4" ht="15.75">
      <c r="A172" s="813" t="s">
        <v>1232</v>
      </c>
      <c r="B172" s="814" t="s">
        <v>976</v>
      </c>
      <c r="C172" s="815">
        <v>0</v>
      </c>
      <c r="D172" s="815">
        <v>0</v>
      </c>
    </row>
    <row r="173" spans="1:4" ht="15.75">
      <c r="A173" s="813" t="s">
        <v>1233</v>
      </c>
      <c r="B173" s="814" t="s">
        <v>977</v>
      </c>
      <c r="C173" s="815">
        <v>10091982</v>
      </c>
      <c r="D173" s="815">
        <v>14830641</v>
      </c>
    </row>
    <row r="174" spans="1:4" ht="15.75">
      <c r="A174" s="813" t="s">
        <v>1234</v>
      </c>
      <c r="B174" s="814" t="s">
        <v>978</v>
      </c>
      <c r="C174" s="815">
        <v>0</v>
      </c>
      <c r="D174" s="815">
        <v>0</v>
      </c>
    </row>
    <row r="175" spans="1:4" ht="15.75">
      <c r="A175" s="813" t="s">
        <v>1235</v>
      </c>
      <c r="B175" s="814" t="s">
        <v>979</v>
      </c>
      <c r="C175" s="815">
        <v>0</v>
      </c>
      <c r="D175" s="815">
        <v>0</v>
      </c>
    </row>
    <row r="176" spans="1:4" ht="15.75">
      <c r="A176" s="816" t="s">
        <v>1236</v>
      </c>
      <c r="B176" s="817" t="s">
        <v>980</v>
      </c>
      <c r="C176" s="818">
        <v>10091982</v>
      </c>
      <c r="D176" s="818">
        <v>14830641</v>
      </c>
    </row>
    <row r="177" spans="1:4" ht="15.75">
      <c r="A177" s="813" t="s">
        <v>1237</v>
      </c>
      <c r="B177" s="814" t="s">
        <v>981</v>
      </c>
      <c r="C177" s="815">
        <v>0</v>
      </c>
      <c r="D177" s="815">
        <v>0</v>
      </c>
    </row>
    <row r="178" spans="1:4" ht="15.75">
      <c r="A178" s="813" t="s">
        <v>1238</v>
      </c>
      <c r="B178" s="814" t="s">
        <v>982</v>
      </c>
      <c r="C178" s="815">
        <v>-14308731</v>
      </c>
      <c r="D178" s="815">
        <v>-14560721</v>
      </c>
    </row>
    <row r="179" spans="1:4" ht="15.75">
      <c r="A179" s="816" t="s">
        <v>1239</v>
      </c>
      <c r="B179" s="817" t="s">
        <v>983</v>
      </c>
      <c r="C179" s="818">
        <v>-14308731</v>
      </c>
      <c r="D179" s="818">
        <v>-14560721</v>
      </c>
    </row>
    <row r="180" spans="1:4" ht="15.75">
      <c r="A180" s="813" t="s">
        <v>1240</v>
      </c>
      <c r="B180" s="814" t="s">
        <v>984</v>
      </c>
      <c r="C180" s="815">
        <v>0</v>
      </c>
      <c r="D180" s="815">
        <v>0</v>
      </c>
    </row>
    <row r="181" spans="1:4" ht="21">
      <c r="A181" s="813" t="s">
        <v>1241</v>
      </c>
      <c r="B181" s="814" t="s">
        <v>985</v>
      </c>
      <c r="C181" s="815">
        <v>0</v>
      </c>
      <c r="D181" s="815">
        <v>0</v>
      </c>
    </row>
    <row r="182" spans="1:4" ht="15.75">
      <c r="A182" s="816" t="s">
        <v>1242</v>
      </c>
      <c r="B182" s="817" t="s">
        <v>986</v>
      </c>
      <c r="C182" s="818">
        <v>0</v>
      </c>
      <c r="D182" s="818">
        <v>0</v>
      </c>
    </row>
    <row r="183" spans="1:4" ht="15.75">
      <c r="A183" s="816" t="s">
        <v>1243</v>
      </c>
      <c r="B183" s="817" t="s">
        <v>987</v>
      </c>
      <c r="C183" s="818">
        <v>-4216749</v>
      </c>
      <c r="D183" s="818">
        <v>269920</v>
      </c>
    </row>
    <row r="184" spans="1:4" ht="15.75">
      <c r="A184" s="813" t="s">
        <v>1244</v>
      </c>
      <c r="B184" s="814" t="s">
        <v>988</v>
      </c>
      <c r="C184" s="815">
        <v>0</v>
      </c>
      <c r="D184" s="815">
        <v>0</v>
      </c>
    </row>
    <row r="185" spans="1:4" ht="15.75">
      <c r="A185" s="813" t="s">
        <v>1245</v>
      </c>
      <c r="B185" s="814" t="s">
        <v>989</v>
      </c>
      <c r="C185" s="815">
        <v>0</v>
      </c>
      <c r="D185" s="815">
        <v>0</v>
      </c>
    </row>
    <row r="186" spans="1:4" ht="15.75">
      <c r="A186" s="813" t="s">
        <v>1246</v>
      </c>
      <c r="B186" s="814" t="s">
        <v>990</v>
      </c>
      <c r="C186" s="815">
        <v>0</v>
      </c>
      <c r="D186" s="815">
        <v>0</v>
      </c>
    </row>
    <row r="187" spans="1:4" ht="15.75">
      <c r="A187" s="816" t="s">
        <v>1247</v>
      </c>
      <c r="B187" s="817" t="s">
        <v>991</v>
      </c>
      <c r="C187" s="818">
        <v>0</v>
      </c>
      <c r="D187" s="818">
        <v>0</v>
      </c>
    </row>
    <row r="188" spans="1:4" ht="15.75">
      <c r="A188" s="816" t="s">
        <v>1248</v>
      </c>
      <c r="B188" s="817" t="s">
        <v>992</v>
      </c>
      <c r="C188" s="818">
        <v>3620244670</v>
      </c>
      <c r="D188" s="818">
        <v>3804062108</v>
      </c>
    </row>
    <row r="189" spans="1:4" ht="15.75">
      <c r="A189" s="787"/>
      <c r="C189" s="809"/>
      <c r="D189" s="809"/>
    </row>
    <row r="190" spans="1:4" ht="15.75">
      <c r="A190" s="787"/>
      <c r="C190" s="809"/>
      <c r="D190" s="809"/>
    </row>
    <row r="191" spans="1:4" ht="15.75">
      <c r="A191" s="787"/>
      <c r="C191" s="809"/>
      <c r="D191" s="809"/>
    </row>
    <row r="192" spans="1:4" ht="15.75">
      <c r="A192" s="787"/>
      <c r="C192" s="809"/>
      <c r="D192" s="809"/>
    </row>
    <row r="193" spans="1:4" ht="15.75">
      <c r="A193" s="787"/>
      <c r="C193" s="809"/>
      <c r="D193" s="809"/>
    </row>
    <row r="194" spans="1:4" ht="15.75">
      <c r="A194" s="787"/>
      <c r="C194" s="809"/>
      <c r="D194" s="809"/>
    </row>
    <row r="195" spans="1:4" ht="15.75">
      <c r="A195" s="787"/>
      <c r="C195" s="810"/>
      <c r="D195" s="810"/>
    </row>
    <row r="196" spans="1:4" ht="15.75">
      <c r="A196" s="787"/>
      <c r="C196" s="809"/>
      <c r="D196" s="809"/>
    </row>
    <row r="197" spans="1:4" ht="15.75">
      <c r="A197" s="787"/>
      <c r="C197" s="809"/>
      <c r="D197" s="809"/>
    </row>
    <row r="198" spans="1:4" ht="15.75">
      <c r="A198" s="787"/>
      <c r="C198" s="809"/>
      <c r="D198" s="809"/>
    </row>
    <row r="199" spans="1:4" ht="15.75">
      <c r="A199" s="787"/>
      <c r="C199" s="809"/>
      <c r="D199" s="809"/>
    </row>
    <row r="200" spans="1:4" ht="15.75">
      <c r="A200" s="787"/>
      <c r="C200" s="809"/>
      <c r="D200" s="809"/>
    </row>
    <row r="201" spans="1:4" ht="15.75">
      <c r="A201" s="787"/>
      <c r="C201" s="809"/>
      <c r="D201" s="809"/>
    </row>
    <row r="202" spans="1:4" ht="15.75">
      <c r="A202" s="787"/>
      <c r="C202" s="809"/>
      <c r="D202" s="809"/>
    </row>
    <row r="203" spans="1:4" ht="15.75">
      <c r="A203" s="787"/>
      <c r="C203" s="809"/>
      <c r="D203" s="809"/>
    </row>
    <row r="204" spans="1:4" ht="15.75">
      <c r="A204" s="787"/>
      <c r="C204" s="809"/>
      <c r="D204" s="809"/>
    </row>
    <row r="205" spans="1:4" ht="15.75">
      <c r="A205" s="787"/>
      <c r="C205" s="809"/>
      <c r="D205" s="809"/>
    </row>
    <row r="206" spans="1:4" ht="15.75">
      <c r="A206" s="787"/>
      <c r="C206" s="809"/>
      <c r="D206" s="809"/>
    </row>
    <row r="207" spans="1:4" ht="15.75">
      <c r="A207" s="787"/>
      <c r="C207" s="809"/>
      <c r="D207" s="809"/>
    </row>
    <row r="208" spans="1:4" ht="15.75">
      <c r="A208" s="787"/>
      <c r="C208" s="809"/>
      <c r="D208" s="809"/>
    </row>
    <row r="209" spans="1:4" ht="15.75">
      <c r="A209" s="787"/>
      <c r="C209" s="809"/>
      <c r="D209" s="809"/>
    </row>
    <row r="210" spans="1:4" ht="15.75">
      <c r="A210" s="787"/>
      <c r="C210" s="809"/>
      <c r="D210" s="809"/>
    </row>
    <row r="211" spans="1:4" ht="15.75">
      <c r="A211" s="787"/>
      <c r="C211" s="809"/>
      <c r="D211" s="809"/>
    </row>
    <row r="212" spans="1:4" ht="15.75">
      <c r="A212" s="787"/>
      <c r="C212" s="809"/>
      <c r="D212" s="809"/>
    </row>
    <row r="213" spans="1:4" ht="15.75">
      <c r="A213" s="787"/>
      <c r="C213" s="809"/>
      <c r="D213" s="809"/>
    </row>
    <row r="214" spans="1:4" ht="15.75">
      <c r="A214" s="787"/>
      <c r="C214" s="809"/>
      <c r="D214" s="809"/>
    </row>
    <row r="215" spans="1:4" ht="15.75">
      <c r="A215" s="787"/>
      <c r="C215" s="809"/>
      <c r="D215" s="809"/>
    </row>
    <row r="216" spans="1:4" ht="15.75">
      <c r="A216" s="787"/>
      <c r="C216" s="809"/>
      <c r="D216" s="809"/>
    </row>
    <row r="217" spans="1:4" ht="15.75">
      <c r="A217" s="787"/>
      <c r="C217" s="809"/>
      <c r="D217" s="809"/>
    </row>
    <row r="218" spans="1:4" ht="15.75">
      <c r="A218" s="787"/>
      <c r="C218" s="809"/>
      <c r="D218" s="809"/>
    </row>
    <row r="219" spans="1:4" ht="15.75">
      <c r="A219" s="787"/>
      <c r="C219" s="809"/>
      <c r="D219" s="809"/>
    </row>
    <row r="220" spans="1:4" ht="15.75">
      <c r="A220" s="787"/>
      <c r="C220" s="809"/>
      <c r="D220" s="809"/>
    </row>
    <row r="221" spans="1:4" ht="15.75">
      <c r="A221" s="787"/>
      <c r="C221" s="810"/>
      <c r="D221" s="810"/>
    </row>
    <row r="222" spans="1:4" ht="15.75">
      <c r="A222" s="787"/>
      <c r="C222" s="809"/>
      <c r="D222" s="809"/>
    </row>
    <row r="223" spans="1:4" ht="15.75">
      <c r="A223" s="787"/>
      <c r="C223" s="809"/>
      <c r="D223" s="809"/>
    </row>
    <row r="224" spans="1:4" ht="15.75">
      <c r="A224" s="787"/>
      <c r="C224" s="809"/>
      <c r="D224" s="809"/>
    </row>
    <row r="225" spans="1:4" ht="15.75">
      <c r="A225" s="787"/>
      <c r="C225" s="809"/>
      <c r="D225" s="809"/>
    </row>
    <row r="226" spans="1:4" ht="15.75">
      <c r="A226" s="787"/>
      <c r="C226" s="809"/>
      <c r="D226" s="809"/>
    </row>
    <row r="227" spans="1:4" ht="15.75">
      <c r="A227" s="787"/>
      <c r="C227" s="809"/>
      <c r="D227" s="809"/>
    </row>
    <row r="228" spans="1:4" ht="15.75">
      <c r="A228" s="787"/>
      <c r="C228" s="809"/>
      <c r="D228" s="809"/>
    </row>
    <row r="229" spans="1:4" ht="15.75">
      <c r="A229" s="787"/>
      <c r="C229" s="809"/>
      <c r="D229" s="809"/>
    </row>
    <row r="230" spans="1:4" ht="15.75">
      <c r="A230" s="787"/>
      <c r="C230" s="809"/>
      <c r="D230" s="809"/>
    </row>
    <row r="231" spans="1:4" ht="15.75">
      <c r="A231" s="787"/>
      <c r="C231" s="809"/>
      <c r="D231" s="809"/>
    </row>
    <row r="232" spans="1:4" ht="15.75">
      <c r="A232" s="787"/>
      <c r="C232" s="809"/>
      <c r="D232" s="809"/>
    </row>
    <row r="233" spans="1:4" ht="15.75">
      <c r="A233" s="787"/>
      <c r="C233" s="809"/>
      <c r="D233" s="809"/>
    </row>
    <row r="234" spans="1:4" ht="15.75">
      <c r="A234" s="787"/>
      <c r="C234" s="809"/>
      <c r="D234" s="809"/>
    </row>
    <row r="235" spans="1:4" ht="15.75">
      <c r="A235" s="787"/>
      <c r="C235" s="809"/>
      <c r="D235" s="809"/>
    </row>
    <row r="236" spans="1:4" ht="15.75">
      <c r="A236" s="787"/>
      <c r="C236" s="809"/>
      <c r="D236" s="809"/>
    </row>
    <row r="237" spans="1:4" ht="15.75">
      <c r="A237" s="787"/>
      <c r="C237" s="809"/>
      <c r="D237" s="809"/>
    </row>
    <row r="238" spans="1:4" ht="15.75">
      <c r="A238" s="787"/>
      <c r="C238" s="809"/>
      <c r="D238" s="809"/>
    </row>
    <row r="239" spans="1:4" ht="15.75">
      <c r="A239" s="787"/>
      <c r="C239" s="809"/>
      <c r="D239" s="809"/>
    </row>
    <row r="240" spans="1:4" ht="15.75">
      <c r="A240" s="787"/>
      <c r="C240" s="809"/>
      <c r="D240" s="809"/>
    </row>
    <row r="241" spans="1:4" ht="15.75">
      <c r="A241" s="787"/>
      <c r="C241" s="809"/>
      <c r="D241" s="809"/>
    </row>
    <row r="242" spans="1:4" ht="15.75">
      <c r="A242" s="787"/>
      <c r="C242" s="809"/>
      <c r="D242" s="809"/>
    </row>
    <row r="243" spans="1:4" ht="15.75">
      <c r="A243" s="787"/>
      <c r="C243" s="809"/>
      <c r="D243" s="809"/>
    </row>
    <row r="244" spans="1:4" ht="15.75">
      <c r="A244" s="787"/>
      <c r="C244" s="809"/>
      <c r="D244" s="809"/>
    </row>
    <row r="245" spans="1:4" ht="15.75">
      <c r="A245" s="787"/>
      <c r="C245" s="810"/>
      <c r="D245" s="810"/>
    </row>
    <row r="246" spans="1:4" ht="15.75">
      <c r="A246" s="787"/>
      <c r="C246" s="809"/>
      <c r="D246" s="809"/>
    </row>
    <row r="247" spans="1:4" ht="15.75">
      <c r="A247" s="787"/>
      <c r="C247" s="809"/>
      <c r="D247" s="809"/>
    </row>
    <row r="248" spans="1:4" ht="15.75">
      <c r="A248" s="787"/>
      <c r="C248" s="809"/>
      <c r="D248" s="809"/>
    </row>
    <row r="249" spans="1:4" ht="15.75">
      <c r="A249" s="787"/>
      <c r="C249" s="809"/>
      <c r="D249" s="809"/>
    </row>
    <row r="250" spans="1:4" ht="15.75">
      <c r="A250" s="787"/>
      <c r="C250" s="809"/>
      <c r="D250" s="809"/>
    </row>
    <row r="251" spans="1:4" ht="15.75">
      <c r="A251" s="787"/>
      <c r="C251" s="809"/>
      <c r="D251" s="809"/>
    </row>
    <row r="252" spans="1:4" ht="15.75">
      <c r="A252" s="787"/>
      <c r="C252" s="809"/>
      <c r="D252" s="809"/>
    </row>
    <row r="253" spans="1:4" ht="15.75">
      <c r="A253" s="787"/>
      <c r="C253" s="809"/>
      <c r="D253" s="809"/>
    </row>
    <row r="254" spans="1:4" ht="15.75">
      <c r="A254" s="787"/>
      <c r="C254" s="809"/>
      <c r="D254" s="809"/>
    </row>
    <row r="255" spans="1:4" ht="15.75">
      <c r="A255" s="787"/>
      <c r="C255" s="810"/>
      <c r="D255" s="810"/>
    </row>
    <row r="256" spans="1:4" ht="15.75">
      <c r="A256" s="787"/>
      <c r="C256" s="810"/>
      <c r="D256" s="810"/>
    </row>
    <row r="257" spans="1:4" ht="15.75">
      <c r="A257" s="787"/>
      <c r="C257" s="810"/>
      <c r="D257" s="810"/>
    </row>
    <row r="258" spans="1:4" ht="15.75">
      <c r="A258" s="787"/>
      <c r="C258" s="809"/>
      <c r="D258" s="809"/>
    </row>
    <row r="259" spans="1:4" ht="15.75">
      <c r="A259" s="787"/>
      <c r="C259" s="809"/>
      <c r="D259" s="809"/>
    </row>
    <row r="260" spans="3:4" ht="15.75">
      <c r="C260" s="809"/>
      <c r="D260" s="809"/>
    </row>
    <row r="261" spans="3:4" ht="15.75">
      <c r="C261" s="810"/>
      <c r="D261" s="810"/>
    </row>
    <row r="262" spans="3:4" ht="15.75">
      <c r="C262" s="810"/>
      <c r="D262" s="810"/>
    </row>
  </sheetData>
  <sheetProtection/>
  <mergeCells count="8">
    <mergeCell ref="C6:D7"/>
    <mergeCell ref="A6:A8"/>
    <mergeCell ref="B1:D1"/>
    <mergeCell ref="B2:D2"/>
    <mergeCell ref="B3:D3"/>
    <mergeCell ref="B4:D4"/>
    <mergeCell ref="C5:D5"/>
    <mergeCell ref="B6:B8"/>
  </mergeCells>
  <printOptions horizontalCentered="1"/>
  <pageMargins left="0.7874015748031497" right="0.8267716535433072" top="0.9055118110236221" bottom="0.984251968503937" header="0.7874015748031497" footer="0.7874015748031497"/>
  <pageSetup horizontalDpi="300" verticalDpi="300" orientation="portrait" paperSize="9" scale="85" r:id="rId1"/>
  <headerFooter alignWithMargins="0">
    <oddFooter>&amp;C&amp;P</oddFooter>
  </headerFooter>
  <rowBreaks count="1" manualBreakCount="1">
    <brk id="47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E83"/>
  <sheetViews>
    <sheetView view="pageBreakPreview" zoomScale="60" zoomScaleNormal="120" workbookViewId="0" topLeftCell="A40">
      <selection activeCell="D15" sqref="D15"/>
    </sheetView>
  </sheetViews>
  <sheetFormatPr defaultColWidth="9.00390625" defaultRowHeight="12.75"/>
  <cols>
    <col min="1" max="1" width="5.50390625" style="454" customWidth="1"/>
    <col min="2" max="2" width="71.125" style="455" customWidth="1"/>
    <col min="3" max="4" width="14.00390625" style="454" customWidth="1"/>
    <col min="5" max="16384" width="9.375" style="454" customWidth="1"/>
  </cols>
  <sheetData>
    <row r="1" spans="2:3" ht="16.5" customHeight="1">
      <c r="B1" s="960" t="str">
        <f>CONCATENATE("29. melléklet ",Z_ALAPADATOK!A7," ",Z_ALAPADATOK!B7," ",Z_ALAPADATOK!C7," ",Z_ALAPADATOK!D7," ",Z_ALAPADATOK!E7," ",Z_ALAPADATOK!F7," ",Z_ALAPADATOK!G7," ",Z_ALAPADATOK!H7)</f>
        <v>29. melléklet a 3 / 2022. ( V. 26. ) önkormányzati rendelethez</v>
      </c>
      <c r="C1" s="961"/>
    </row>
    <row r="2" spans="2:3" ht="16.5" customHeight="1">
      <c r="B2" s="526"/>
      <c r="C2" s="527"/>
    </row>
    <row r="3" spans="2:3" ht="16.5" customHeight="1">
      <c r="B3" s="964" t="s">
        <v>572</v>
      </c>
      <c r="C3" s="964"/>
    </row>
    <row r="4" spans="2:3" ht="16.5" customHeight="1">
      <c r="B4" s="962" t="s">
        <v>589</v>
      </c>
      <c r="C4" s="962"/>
    </row>
    <row r="5" spans="2:3" ht="16.5" customHeight="1">
      <c r="B5" s="962" t="s">
        <v>737</v>
      </c>
      <c r="C5" s="963"/>
    </row>
    <row r="6" spans="2:3" ht="13.5" thickBot="1">
      <c r="B6" s="526"/>
      <c r="C6" s="788"/>
    </row>
    <row r="7" spans="1:4" s="456" customFormat="1" ht="31.5" customHeight="1">
      <c r="A7" s="958" t="s">
        <v>535</v>
      </c>
      <c r="B7" s="965" t="s">
        <v>537</v>
      </c>
      <c r="C7" s="944" t="s">
        <v>817</v>
      </c>
      <c r="D7" s="945"/>
    </row>
    <row r="8" spans="1:4" s="456" customFormat="1" ht="12.75" customHeight="1">
      <c r="A8" s="959"/>
      <c r="B8" s="966"/>
      <c r="C8" s="946"/>
      <c r="D8" s="947"/>
    </row>
    <row r="9" spans="1:4" s="457" customFormat="1" ht="12.75">
      <c r="A9" s="789" t="s">
        <v>384</v>
      </c>
      <c r="B9" s="789" t="s">
        <v>385</v>
      </c>
      <c r="C9" s="790" t="s">
        <v>818</v>
      </c>
      <c r="D9" s="790" t="s">
        <v>819</v>
      </c>
    </row>
    <row r="10" spans="1:4" ht="15.75" customHeight="1">
      <c r="A10" s="791">
        <v>1</v>
      </c>
      <c r="B10" s="814" t="s">
        <v>993</v>
      </c>
      <c r="C10" s="815">
        <v>3593391897</v>
      </c>
      <c r="D10" s="815">
        <v>3593391897</v>
      </c>
    </row>
    <row r="11" spans="1:4" ht="15.75" customHeight="1">
      <c r="A11" s="791">
        <v>2</v>
      </c>
      <c r="B11" s="814" t="s">
        <v>994</v>
      </c>
      <c r="C11" s="815">
        <v>114044738</v>
      </c>
      <c r="D11" s="815">
        <v>114044738</v>
      </c>
    </row>
    <row r="12" spans="1:4" ht="15.75" customHeight="1">
      <c r="A12" s="791">
        <v>3</v>
      </c>
      <c r="B12" s="814" t="s">
        <v>995</v>
      </c>
      <c r="C12" s="815">
        <v>79640083</v>
      </c>
      <c r="D12" s="815">
        <v>79640083</v>
      </c>
    </row>
    <row r="13" spans="1:4" ht="15.75" customHeight="1">
      <c r="A13" s="791">
        <v>4</v>
      </c>
      <c r="B13" s="814" t="s">
        <v>996</v>
      </c>
      <c r="C13" s="815">
        <v>-291641758</v>
      </c>
      <c r="D13" s="815">
        <v>-306111601</v>
      </c>
    </row>
    <row r="14" spans="1:4" ht="15.75" customHeight="1">
      <c r="A14" s="791">
        <v>5</v>
      </c>
      <c r="B14" s="814" t="s">
        <v>997</v>
      </c>
      <c r="C14" s="815">
        <v>0</v>
      </c>
      <c r="D14" s="815">
        <v>0</v>
      </c>
    </row>
    <row r="15" spans="1:4" ht="15.75" customHeight="1">
      <c r="A15" s="791">
        <v>6</v>
      </c>
      <c r="B15" s="814" t="s">
        <v>998</v>
      </c>
      <c r="C15" s="815">
        <v>-14469843</v>
      </c>
      <c r="D15" s="815">
        <v>-126089513</v>
      </c>
    </row>
    <row r="16" spans="1:4" ht="15.75" customHeight="1">
      <c r="A16" s="791">
        <v>7</v>
      </c>
      <c r="B16" s="817" t="s">
        <v>999</v>
      </c>
      <c r="C16" s="818">
        <v>3480965117</v>
      </c>
      <c r="D16" s="818">
        <v>3354875604</v>
      </c>
    </row>
    <row r="17" spans="1:4" ht="15.75" customHeight="1">
      <c r="A17" s="791">
        <v>8</v>
      </c>
      <c r="B17" s="814" t="s">
        <v>1000</v>
      </c>
      <c r="C17" s="815">
        <v>0</v>
      </c>
      <c r="D17" s="815">
        <v>7544</v>
      </c>
    </row>
    <row r="18" spans="1:4" ht="15.75" customHeight="1">
      <c r="A18" s="791">
        <v>9</v>
      </c>
      <c r="B18" s="814" t="s">
        <v>1001</v>
      </c>
      <c r="C18" s="815">
        <v>0</v>
      </c>
      <c r="D18" s="815">
        <v>0</v>
      </c>
    </row>
    <row r="19" spans="1:4" ht="15.75" customHeight="1">
      <c r="A19" s="791">
        <v>10</v>
      </c>
      <c r="B19" s="814" t="s">
        <v>1002</v>
      </c>
      <c r="C19" s="815">
        <v>2588556</v>
      </c>
      <c r="D19" s="815">
        <v>1335777</v>
      </c>
    </row>
    <row r="20" spans="1:4" ht="15.75" customHeight="1">
      <c r="A20" s="791">
        <v>11</v>
      </c>
      <c r="B20" s="814" t="s">
        <v>1003</v>
      </c>
      <c r="C20" s="815">
        <v>0</v>
      </c>
      <c r="D20" s="815">
        <v>0</v>
      </c>
    </row>
    <row r="21" spans="1:4" s="458" customFormat="1" ht="15.75" customHeight="1">
      <c r="A21" s="791">
        <v>12</v>
      </c>
      <c r="B21" s="814" t="s">
        <v>1004</v>
      </c>
      <c r="C21" s="815">
        <v>0</v>
      </c>
      <c r="D21" s="815">
        <v>0</v>
      </c>
    </row>
    <row r="22" spans="1:4" ht="15.75" customHeight="1">
      <c r="A22" s="791">
        <v>13</v>
      </c>
      <c r="B22" s="814" t="s">
        <v>1005</v>
      </c>
      <c r="C22" s="815">
        <v>0</v>
      </c>
      <c r="D22" s="815">
        <v>0</v>
      </c>
    </row>
    <row r="23" spans="1:4" ht="15.75" customHeight="1">
      <c r="A23" s="791">
        <v>14</v>
      </c>
      <c r="B23" s="814" t="s">
        <v>1006</v>
      </c>
      <c r="C23" s="815">
        <v>0</v>
      </c>
      <c r="D23" s="815">
        <v>0</v>
      </c>
    </row>
    <row r="24" spans="1:5" ht="15.75">
      <c r="A24" s="791">
        <v>15</v>
      </c>
      <c r="B24" s="814" t="s">
        <v>1007</v>
      </c>
      <c r="C24" s="815">
        <v>0</v>
      </c>
      <c r="D24" s="815">
        <v>635738</v>
      </c>
      <c r="E24" s="453"/>
    </row>
    <row r="25" spans="1:5" ht="15.75">
      <c r="A25" s="791">
        <v>16</v>
      </c>
      <c r="B25" s="814" t="s">
        <v>1008</v>
      </c>
      <c r="C25" s="815">
        <v>0</v>
      </c>
      <c r="D25" s="815">
        <v>0</v>
      </c>
      <c r="E25" s="453"/>
    </row>
    <row r="26" spans="1:5" ht="15.75">
      <c r="A26" s="791">
        <v>17</v>
      </c>
      <c r="B26" s="814" t="s">
        <v>1009</v>
      </c>
      <c r="C26" s="815">
        <v>0</v>
      </c>
      <c r="D26" s="815">
        <v>0</v>
      </c>
      <c r="E26" s="453"/>
    </row>
    <row r="27" spans="1:5" ht="21">
      <c r="A27" s="791">
        <v>18</v>
      </c>
      <c r="B27" s="814" t="s">
        <v>1010</v>
      </c>
      <c r="C27" s="815">
        <v>0</v>
      </c>
      <c r="D27" s="815">
        <v>0</v>
      </c>
      <c r="E27" s="459"/>
    </row>
    <row r="28" spans="1:5" ht="21">
      <c r="A28" s="791">
        <v>19</v>
      </c>
      <c r="B28" s="814" t="s">
        <v>1011</v>
      </c>
      <c r="C28" s="815">
        <v>0</v>
      </c>
      <c r="D28" s="815">
        <v>0</v>
      </c>
      <c r="E28" s="459"/>
    </row>
    <row r="29" spans="1:4" ht="12.75">
      <c r="A29" s="791">
        <v>20</v>
      </c>
      <c r="B29" s="814" t="s">
        <v>1012</v>
      </c>
      <c r="C29" s="815">
        <v>0</v>
      </c>
      <c r="D29" s="815">
        <v>0</v>
      </c>
    </row>
    <row r="30" spans="1:4" ht="21">
      <c r="A30" s="791">
        <v>21</v>
      </c>
      <c r="B30" s="814" t="s">
        <v>1013</v>
      </c>
      <c r="C30" s="815">
        <v>0</v>
      </c>
      <c r="D30" s="815">
        <v>0</v>
      </c>
    </row>
    <row r="31" spans="1:4" ht="21">
      <c r="A31" s="791">
        <v>22</v>
      </c>
      <c r="B31" s="814" t="s">
        <v>1014</v>
      </c>
      <c r="C31" s="815">
        <v>0</v>
      </c>
      <c r="D31" s="815">
        <v>0</v>
      </c>
    </row>
    <row r="32" spans="1:4" ht="12.75">
      <c r="A32" s="791">
        <v>23</v>
      </c>
      <c r="B32" s="814" t="s">
        <v>1015</v>
      </c>
      <c r="C32" s="815">
        <v>0</v>
      </c>
      <c r="D32" s="815">
        <v>0</v>
      </c>
    </row>
    <row r="33" spans="1:4" ht="21">
      <c r="A33" s="791">
        <v>24</v>
      </c>
      <c r="B33" s="814" t="s">
        <v>1016</v>
      </c>
      <c r="C33" s="815">
        <v>0</v>
      </c>
      <c r="D33" s="815">
        <v>0</v>
      </c>
    </row>
    <row r="34" spans="1:4" ht="12.75">
      <c r="A34" s="791">
        <v>25</v>
      </c>
      <c r="B34" s="814" t="s">
        <v>1017</v>
      </c>
      <c r="C34" s="815">
        <v>0</v>
      </c>
      <c r="D34" s="815">
        <v>0</v>
      </c>
    </row>
    <row r="35" spans="1:4" ht="21">
      <c r="A35" s="791">
        <v>26</v>
      </c>
      <c r="B35" s="814" t="s">
        <v>1018</v>
      </c>
      <c r="C35" s="815">
        <v>0</v>
      </c>
      <c r="D35" s="815">
        <v>0</v>
      </c>
    </row>
    <row r="36" spans="1:4" ht="21">
      <c r="A36" s="791">
        <v>27</v>
      </c>
      <c r="B36" s="814" t="s">
        <v>1019</v>
      </c>
      <c r="C36" s="815">
        <v>0</v>
      </c>
      <c r="D36" s="815">
        <v>0</v>
      </c>
    </row>
    <row r="37" spans="1:4" ht="12.75">
      <c r="A37" s="791">
        <v>28</v>
      </c>
      <c r="B37" s="814" t="s">
        <v>1020</v>
      </c>
      <c r="C37" s="815">
        <v>0</v>
      </c>
      <c r="D37" s="815">
        <v>0</v>
      </c>
    </row>
    <row r="38" spans="1:4" ht="12.75">
      <c r="A38" s="791">
        <v>29</v>
      </c>
      <c r="B38" s="814" t="s">
        <v>1021</v>
      </c>
      <c r="C38" s="815">
        <v>0</v>
      </c>
      <c r="D38" s="815">
        <v>0</v>
      </c>
    </row>
    <row r="39" spans="1:4" ht="21">
      <c r="A39" s="791">
        <v>30</v>
      </c>
      <c r="B39" s="814" t="s">
        <v>1022</v>
      </c>
      <c r="C39" s="815">
        <v>0</v>
      </c>
      <c r="D39" s="815">
        <v>0</v>
      </c>
    </row>
    <row r="40" spans="1:4" ht="21">
      <c r="A40" s="791">
        <v>31</v>
      </c>
      <c r="B40" s="814" t="s">
        <v>1023</v>
      </c>
      <c r="C40" s="815">
        <v>0</v>
      </c>
      <c r="D40" s="815">
        <v>0</v>
      </c>
    </row>
    <row r="41" spans="1:4" ht="12.75">
      <c r="A41" s="791">
        <v>32</v>
      </c>
      <c r="B41" s="814" t="s">
        <v>1024</v>
      </c>
      <c r="C41" s="815">
        <v>0</v>
      </c>
      <c r="D41" s="815">
        <v>0</v>
      </c>
    </row>
    <row r="42" spans="1:4" ht="12.75">
      <c r="A42" s="819">
        <v>33</v>
      </c>
      <c r="B42" s="817" t="s">
        <v>1025</v>
      </c>
      <c r="C42" s="818">
        <v>2588556</v>
      </c>
      <c r="D42" s="818">
        <v>1979059</v>
      </c>
    </row>
    <row r="43" spans="1:4" ht="12.75">
      <c r="A43" s="791">
        <v>34</v>
      </c>
      <c r="B43" s="814" t="s">
        <v>1026</v>
      </c>
      <c r="C43" s="815">
        <v>0</v>
      </c>
      <c r="D43" s="815">
        <v>0</v>
      </c>
    </row>
    <row r="44" spans="1:4" ht="21">
      <c r="A44" s="791">
        <v>35</v>
      </c>
      <c r="B44" s="814" t="s">
        <v>1027</v>
      </c>
      <c r="C44" s="815">
        <v>0</v>
      </c>
      <c r="D44" s="815">
        <v>0</v>
      </c>
    </row>
    <row r="45" spans="1:4" ht="12.75">
      <c r="A45" s="791">
        <v>36</v>
      </c>
      <c r="B45" s="814" t="s">
        <v>1028</v>
      </c>
      <c r="C45" s="815">
        <v>1176020</v>
      </c>
      <c r="D45" s="815">
        <v>2511619</v>
      </c>
    </row>
    <row r="46" spans="1:4" ht="12.75">
      <c r="A46" s="791">
        <v>37</v>
      </c>
      <c r="B46" s="814" t="s">
        <v>1029</v>
      </c>
      <c r="C46" s="815">
        <v>0</v>
      </c>
      <c r="D46" s="815">
        <v>0</v>
      </c>
    </row>
    <row r="47" spans="1:4" ht="21">
      <c r="A47" s="791">
        <v>38</v>
      </c>
      <c r="B47" s="814" t="s">
        <v>1030</v>
      </c>
      <c r="C47" s="815">
        <v>0</v>
      </c>
      <c r="D47" s="815">
        <v>0</v>
      </c>
    </row>
    <row r="48" spans="1:4" ht="21">
      <c r="A48" s="791">
        <v>39</v>
      </c>
      <c r="B48" s="814" t="s">
        <v>1031</v>
      </c>
      <c r="C48" s="815">
        <v>0</v>
      </c>
      <c r="D48" s="815">
        <v>0</v>
      </c>
    </row>
    <row r="49" spans="1:4" ht="21">
      <c r="A49" s="791">
        <v>40</v>
      </c>
      <c r="B49" s="814" t="s">
        <v>1032</v>
      </c>
      <c r="C49" s="815">
        <v>0</v>
      </c>
      <c r="D49" s="815">
        <v>0</v>
      </c>
    </row>
    <row r="50" spans="1:4" ht="12.75">
      <c r="A50" s="791">
        <v>41</v>
      </c>
      <c r="B50" s="814" t="s">
        <v>1033</v>
      </c>
      <c r="C50" s="815">
        <v>0</v>
      </c>
      <c r="D50" s="815">
        <v>0</v>
      </c>
    </row>
    <row r="51" spans="1:4" ht="12.75">
      <c r="A51" s="791">
        <v>42</v>
      </c>
      <c r="B51" s="814" t="s">
        <v>1034</v>
      </c>
      <c r="C51" s="815">
        <v>0</v>
      </c>
      <c r="D51" s="815">
        <v>0</v>
      </c>
    </row>
    <row r="52" spans="1:4" ht="21">
      <c r="A52" s="791">
        <v>43</v>
      </c>
      <c r="B52" s="814" t="s">
        <v>1035</v>
      </c>
      <c r="C52" s="815">
        <v>0</v>
      </c>
      <c r="D52" s="815">
        <v>0</v>
      </c>
    </row>
    <row r="53" spans="1:4" ht="21">
      <c r="A53" s="791">
        <v>44</v>
      </c>
      <c r="B53" s="814" t="s">
        <v>1036</v>
      </c>
      <c r="C53" s="815">
        <v>0</v>
      </c>
      <c r="D53" s="815">
        <v>0</v>
      </c>
    </row>
    <row r="54" spans="1:4" ht="21">
      <c r="A54" s="791">
        <v>45</v>
      </c>
      <c r="B54" s="814" t="s">
        <v>1037</v>
      </c>
      <c r="C54" s="815">
        <v>0</v>
      </c>
      <c r="D54" s="815">
        <v>0</v>
      </c>
    </row>
    <row r="55" spans="1:4" ht="21">
      <c r="A55" s="791">
        <v>46</v>
      </c>
      <c r="B55" s="814" t="s">
        <v>1038</v>
      </c>
      <c r="C55" s="815">
        <v>4376944</v>
      </c>
      <c r="D55" s="815">
        <v>4440354</v>
      </c>
    </row>
    <row r="56" spans="1:4" ht="21">
      <c r="A56" s="791">
        <v>47</v>
      </c>
      <c r="B56" s="814" t="s">
        <v>1039</v>
      </c>
      <c r="C56" s="815">
        <v>0</v>
      </c>
      <c r="D56" s="815">
        <v>0</v>
      </c>
    </row>
    <row r="57" spans="1:4" ht="12.75">
      <c r="A57" s="791">
        <v>48</v>
      </c>
      <c r="B57" s="814" t="s">
        <v>1040</v>
      </c>
      <c r="C57" s="815">
        <v>0</v>
      </c>
      <c r="D57" s="815">
        <v>0</v>
      </c>
    </row>
    <row r="58" spans="1:4" ht="12.75">
      <c r="A58" s="791">
        <v>49</v>
      </c>
      <c r="B58" s="814" t="s">
        <v>1041</v>
      </c>
      <c r="C58" s="815">
        <v>0</v>
      </c>
      <c r="D58" s="815">
        <v>0</v>
      </c>
    </row>
    <row r="59" spans="1:4" ht="21">
      <c r="A59" s="791">
        <v>50</v>
      </c>
      <c r="B59" s="814" t="s">
        <v>1042</v>
      </c>
      <c r="C59" s="815">
        <v>0</v>
      </c>
      <c r="D59" s="815">
        <v>0</v>
      </c>
    </row>
    <row r="60" spans="1:4" ht="21">
      <c r="A60" s="791">
        <v>51</v>
      </c>
      <c r="B60" s="814" t="s">
        <v>1043</v>
      </c>
      <c r="C60" s="815">
        <v>4376944</v>
      </c>
      <c r="D60" s="815">
        <v>4440354</v>
      </c>
    </row>
    <row r="61" spans="1:4" ht="12.75">
      <c r="A61" s="791">
        <v>52</v>
      </c>
      <c r="B61" s="814" t="s">
        <v>1044</v>
      </c>
      <c r="C61" s="815">
        <v>0</v>
      </c>
      <c r="D61" s="815">
        <v>0</v>
      </c>
    </row>
    <row r="62" spans="1:4" ht="12.75">
      <c r="A62" s="791">
        <v>53</v>
      </c>
      <c r="B62" s="814" t="s">
        <v>1045</v>
      </c>
      <c r="C62" s="815">
        <v>0</v>
      </c>
      <c r="D62" s="815">
        <v>0</v>
      </c>
    </row>
    <row r="63" spans="1:4" ht="21">
      <c r="A63" s="791">
        <v>54</v>
      </c>
      <c r="B63" s="814" t="s">
        <v>1046</v>
      </c>
      <c r="C63" s="815">
        <v>0</v>
      </c>
      <c r="D63" s="815">
        <v>0</v>
      </c>
    </row>
    <row r="64" spans="1:4" ht="21">
      <c r="A64" s="791">
        <v>55</v>
      </c>
      <c r="B64" s="814" t="s">
        <v>1047</v>
      </c>
      <c r="C64" s="815">
        <v>0</v>
      </c>
      <c r="D64" s="815">
        <v>0</v>
      </c>
    </row>
    <row r="65" spans="1:4" ht="12.75">
      <c r="A65" s="791">
        <v>56</v>
      </c>
      <c r="B65" s="814" t="s">
        <v>1048</v>
      </c>
      <c r="C65" s="815">
        <v>0</v>
      </c>
      <c r="D65" s="815">
        <v>0</v>
      </c>
    </row>
    <row r="66" spans="1:4" ht="12.75">
      <c r="A66" s="791">
        <v>57</v>
      </c>
      <c r="B66" s="817" t="s">
        <v>1049</v>
      </c>
      <c r="C66" s="818">
        <v>5552964</v>
      </c>
      <c r="D66" s="818">
        <v>6951973</v>
      </c>
    </row>
    <row r="67" spans="1:4" ht="12.75">
      <c r="A67" s="791">
        <v>58</v>
      </c>
      <c r="B67" s="814" t="s">
        <v>1050</v>
      </c>
      <c r="C67" s="815">
        <v>11085637</v>
      </c>
      <c r="D67" s="815">
        <v>21343197</v>
      </c>
    </row>
    <row r="68" spans="1:4" ht="12.75">
      <c r="A68" s="791">
        <v>59</v>
      </c>
      <c r="B68" s="814" t="s">
        <v>1051</v>
      </c>
      <c r="C68" s="815">
        <v>0</v>
      </c>
      <c r="D68" s="815">
        <v>0</v>
      </c>
    </row>
    <row r="69" spans="1:4" ht="12.75">
      <c r="A69" s="791">
        <v>60</v>
      </c>
      <c r="B69" s="814" t="s">
        <v>1052</v>
      </c>
      <c r="C69" s="815">
        <v>237042</v>
      </c>
      <c r="D69" s="815">
        <v>320897</v>
      </c>
    </row>
    <row r="70" spans="1:4" ht="12.75">
      <c r="A70" s="791">
        <v>61</v>
      </c>
      <c r="B70" s="814" t="s">
        <v>1053</v>
      </c>
      <c r="C70" s="815">
        <v>0</v>
      </c>
      <c r="D70" s="815">
        <v>0</v>
      </c>
    </row>
    <row r="71" spans="1:4" ht="21">
      <c r="A71" s="791">
        <v>62</v>
      </c>
      <c r="B71" s="814" t="s">
        <v>1054</v>
      </c>
      <c r="C71" s="815">
        <v>0</v>
      </c>
      <c r="D71" s="815">
        <v>0</v>
      </c>
    </row>
    <row r="72" spans="1:4" ht="12.75">
      <c r="A72" s="791">
        <v>63</v>
      </c>
      <c r="B72" s="814" t="s">
        <v>1055</v>
      </c>
      <c r="C72" s="815">
        <v>0</v>
      </c>
      <c r="D72" s="815">
        <v>0</v>
      </c>
    </row>
    <row r="73" spans="1:4" ht="12.75">
      <c r="A73" s="791">
        <v>64</v>
      </c>
      <c r="B73" s="814" t="s">
        <v>1056</v>
      </c>
      <c r="C73" s="815">
        <v>4401181</v>
      </c>
      <c r="D73" s="815">
        <v>4401181</v>
      </c>
    </row>
    <row r="74" spans="1:4" ht="12.75">
      <c r="A74" s="791">
        <v>65</v>
      </c>
      <c r="B74" s="814" t="s">
        <v>1057</v>
      </c>
      <c r="C74" s="815">
        <v>0</v>
      </c>
      <c r="D74" s="815">
        <v>0</v>
      </c>
    </row>
    <row r="75" spans="1:4" ht="12.75">
      <c r="A75" s="791">
        <v>66</v>
      </c>
      <c r="B75" s="814" t="s">
        <v>1058</v>
      </c>
      <c r="C75" s="815">
        <v>0</v>
      </c>
      <c r="D75" s="815">
        <v>0</v>
      </c>
    </row>
    <row r="76" spans="1:4" ht="12.75">
      <c r="A76" s="791">
        <v>67</v>
      </c>
      <c r="B76" s="817" t="s">
        <v>1059</v>
      </c>
      <c r="C76" s="818">
        <v>15723860</v>
      </c>
      <c r="D76" s="818">
        <v>26065275</v>
      </c>
    </row>
    <row r="77" spans="1:4" ht="12.75">
      <c r="A77" s="791">
        <v>68</v>
      </c>
      <c r="B77" s="817" t="s">
        <v>1060</v>
      </c>
      <c r="C77" s="818">
        <v>23865380</v>
      </c>
      <c r="D77" s="818">
        <v>34996307</v>
      </c>
    </row>
    <row r="78" spans="1:4" ht="12.75">
      <c r="A78" s="791">
        <v>69</v>
      </c>
      <c r="B78" s="817" t="s">
        <v>538</v>
      </c>
      <c r="C78" s="818">
        <v>0</v>
      </c>
      <c r="D78" s="818">
        <v>0</v>
      </c>
    </row>
    <row r="79" spans="1:4" ht="12.75">
      <c r="A79" s="791">
        <v>70</v>
      </c>
      <c r="B79" s="814" t="s">
        <v>1061</v>
      </c>
      <c r="C79" s="815">
        <v>0</v>
      </c>
      <c r="D79" s="815">
        <v>0</v>
      </c>
    </row>
    <row r="80" spans="1:4" ht="12.75">
      <c r="A80" s="791">
        <v>71</v>
      </c>
      <c r="B80" s="814" t="s">
        <v>1062</v>
      </c>
      <c r="C80" s="815">
        <v>12925778</v>
      </c>
      <c r="D80" s="815">
        <v>18020794</v>
      </c>
    </row>
    <row r="81" spans="1:4" ht="12.75">
      <c r="A81" s="791">
        <v>72</v>
      </c>
      <c r="B81" s="814" t="s">
        <v>1063</v>
      </c>
      <c r="C81" s="815">
        <v>102488395</v>
      </c>
      <c r="D81" s="815">
        <v>396169403</v>
      </c>
    </row>
    <row r="82" spans="1:4" ht="12.75">
      <c r="A82" s="791">
        <v>73</v>
      </c>
      <c r="B82" s="817" t="s">
        <v>1064</v>
      </c>
      <c r="C82" s="818">
        <v>115414173</v>
      </c>
      <c r="D82" s="818">
        <v>414190197</v>
      </c>
    </row>
    <row r="83" spans="1:4" ht="12.75">
      <c r="A83" s="791">
        <v>74</v>
      </c>
      <c r="B83" s="817" t="s">
        <v>1065</v>
      </c>
      <c r="C83" s="818">
        <v>3620244670</v>
      </c>
      <c r="D83" s="818">
        <v>3804062108</v>
      </c>
    </row>
  </sheetData>
  <sheetProtection/>
  <mergeCells count="7">
    <mergeCell ref="A7:A8"/>
    <mergeCell ref="C7:D8"/>
    <mergeCell ref="B1:C1"/>
    <mergeCell ref="B5:C5"/>
    <mergeCell ref="B3:C3"/>
    <mergeCell ref="B4:C4"/>
    <mergeCell ref="B7:B8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E32"/>
  <sheetViews>
    <sheetView view="pageBreakPreview" zoomScale="60" zoomScaleNormal="120" workbookViewId="0" topLeftCell="A1">
      <selection activeCell="F14" sqref="F14"/>
    </sheetView>
  </sheetViews>
  <sheetFormatPr defaultColWidth="12.00390625" defaultRowHeight="12.75"/>
  <cols>
    <col min="1" max="1" width="58.875" style="460" customWidth="1"/>
    <col min="2" max="2" width="6.875" style="460" customWidth="1"/>
    <col min="3" max="3" width="19.125" style="460" customWidth="1"/>
    <col min="4" max="16384" width="12.00390625" style="460" customWidth="1"/>
  </cols>
  <sheetData>
    <row r="1" spans="1:3" ht="16.5" customHeight="1">
      <c r="A1" s="971" t="str">
        <f>CONCATENATE("30. melléklet ",Z_ALAPADATOK!A7," ",Z_ALAPADATOK!B7," ",Z_ALAPADATOK!C7," ",Z_ALAPADATOK!D7," ",Z_ALAPADATOK!E7," ",Z_ALAPADATOK!F7," ",Z_ALAPADATOK!G7," ",Z_ALAPADATOK!H7)</f>
        <v>30. melléklet a 3 / 2022. ( V. 26. ) önkormányzati rendelethez</v>
      </c>
      <c r="B1" s="971"/>
      <c r="C1" s="971"/>
    </row>
    <row r="2" s="528" customFormat="1" ht="16.5" customHeight="1"/>
    <row r="3" spans="1:3" s="481" customFormat="1" ht="16.5" customHeight="1">
      <c r="A3" s="972" t="s">
        <v>572</v>
      </c>
      <c r="B3" s="972"/>
      <c r="C3" s="972"/>
    </row>
    <row r="4" spans="1:3" s="481" customFormat="1" ht="16.5" customHeight="1">
      <c r="A4" s="972" t="s">
        <v>574</v>
      </c>
      <c r="B4" s="972"/>
      <c r="C4" s="972"/>
    </row>
    <row r="5" spans="1:3" s="481" customFormat="1" ht="16.5" customHeight="1">
      <c r="A5" s="967" t="s">
        <v>737</v>
      </c>
      <c r="B5" s="968"/>
      <c r="C5" s="968"/>
    </row>
    <row r="6" ht="16.5" customHeight="1" thickBot="1"/>
    <row r="7" spans="1:3" ht="43.5" customHeight="1" thickBot="1">
      <c r="A7" s="461" t="s">
        <v>45</v>
      </c>
      <c r="B7" s="462" t="s">
        <v>535</v>
      </c>
      <c r="C7" s="463" t="s">
        <v>539</v>
      </c>
    </row>
    <row r="8" spans="1:3" ht="16.5" thickBot="1">
      <c r="A8" s="464" t="s">
        <v>384</v>
      </c>
      <c r="B8" s="465" t="s">
        <v>385</v>
      </c>
      <c r="C8" s="466" t="s">
        <v>388</v>
      </c>
    </row>
    <row r="9" spans="1:3" ht="15.75" customHeight="1" thickBot="1">
      <c r="A9" s="473" t="s">
        <v>696</v>
      </c>
      <c r="B9" s="474" t="s">
        <v>6</v>
      </c>
      <c r="C9" s="645">
        <f>SUM(C10:C13)</f>
        <v>29096432</v>
      </c>
    </row>
    <row r="10" spans="1:3" ht="15.75" customHeight="1">
      <c r="A10" s="476" t="s">
        <v>697</v>
      </c>
      <c r="B10" s="468" t="s">
        <v>7</v>
      </c>
      <c r="C10" s="469">
        <v>11116920</v>
      </c>
    </row>
    <row r="11" spans="1:3" ht="15.75" customHeight="1">
      <c r="A11" s="467" t="s">
        <v>698</v>
      </c>
      <c r="B11" s="468" t="s">
        <v>8</v>
      </c>
      <c r="C11" s="470">
        <v>1836657</v>
      </c>
    </row>
    <row r="12" spans="1:3" ht="15.75" customHeight="1">
      <c r="A12" s="471" t="s">
        <v>699</v>
      </c>
      <c r="B12" s="468" t="s">
        <v>9</v>
      </c>
      <c r="C12" s="470">
        <v>16142855</v>
      </c>
    </row>
    <row r="13" spans="1:3" ht="15.75" customHeight="1" thickBot="1">
      <c r="A13" s="471" t="s">
        <v>540</v>
      </c>
      <c r="B13" s="648" t="s">
        <v>10</v>
      </c>
      <c r="C13" s="472"/>
    </row>
    <row r="14" spans="1:3" ht="15.75" customHeight="1" thickBot="1">
      <c r="A14" s="646" t="s">
        <v>541</v>
      </c>
      <c r="B14" s="649" t="s">
        <v>11</v>
      </c>
      <c r="C14" s="647">
        <f>+C15+C16+C17+C18</f>
        <v>0</v>
      </c>
    </row>
    <row r="15" spans="1:3" ht="15.75" customHeight="1">
      <c r="A15" s="476" t="s">
        <v>542</v>
      </c>
      <c r="B15" s="468" t="s">
        <v>12</v>
      </c>
      <c r="C15" s="469"/>
    </row>
    <row r="16" spans="1:3" ht="15.75" customHeight="1">
      <c r="A16" s="467" t="s">
        <v>543</v>
      </c>
      <c r="B16" s="468" t="s">
        <v>13</v>
      </c>
      <c r="C16" s="470"/>
    </row>
    <row r="17" spans="1:3" ht="15.75" customHeight="1">
      <c r="A17" s="467" t="s">
        <v>544</v>
      </c>
      <c r="B17" s="468" t="s">
        <v>14</v>
      </c>
      <c r="C17" s="470"/>
    </row>
    <row r="18" spans="1:3" ht="15.75" customHeight="1" thickBot="1">
      <c r="A18" s="471" t="s">
        <v>545</v>
      </c>
      <c r="B18" s="648" t="s">
        <v>15</v>
      </c>
      <c r="C18" s="472"/>
    </row>
    <row r="19" spans="1:3" ht="15.75" customHeight="1" thickBot="1">
      <c r="A19" s="646" t="s">
        <v>546</v>
      </c>
      <c r="B19" s="649" t="s">
        <v>16</v>
      </c>
      <c r="C19" s="647">
        <f>+C20+C21+C22</f>
        <v>0</v>
      </c>
    </row>
    <row r="20" spans="1:3" ht="15.75" customHeight="1">
      <c r="A20" s="476" t="s">
        <v>547</v>
      </c>
      <c r="B20" s="468" t="s">
        <v>17</v>
      </c>
      <c r="C20" s="469"/>
    </row>
    <row r="21" spans="1:3" ht="15.75" customHeight="1">
      <c r="A21" s="467" t="s">
        <v>548</v>
      </c>
      <c r="B21" s="468" t="s">
        <v>18</v>
      </c>
      <c r="C21" s="470"/>
    </row>
    <row r="22" spans="1:3" ht="15.75" customHeight="1" thickBot="1">
      <c r="A22" s="471" t="s">
        <v>549</v>
      </c>
      <c r="B22" s="648" t="s">
        <v>19</v>
      </c>
      <c r="C22" s="472"/>
    </row>
    <row r="23" spans="1:3" ht="15.75" customHeight="1" thickBot="1">
      <c r="A23" s="646" t="s">
        <v>550</v>
      </c>
      <c r="B23" s="649" t="s">
        <v>20</v>
      </c>
      <c r="C23" s="647">
        <f>+C24+C25+C26</f>
        <v>0</v>
      </c>
    </row>
    <row r="24" spans="1:3" ht="15.75" customHeight="1">
      <c r="A24" s="476" t="s">
        <v>551</v>
      </c>
      <c r="B24" s="468" t="s">
        <v>21</v>
      </c>
      <c r="C24" s="469"/>
    </row>
    <row r="25" spans="1:3" ht="15.75" customHeight="1">
      <c r="A25" s="467" t="s">
        <v>552</v>
      </c>
      <c r="B25" s="468" t="s">
        <v>22</v>
      </c>
      <c r="C25" s="470"/>
    </row>
    <row r="26" spans="1:3" ht="15.75" customHeight="1">
      <c r="A26" s="467" t="s">
        <v>553</v>
      </c>
      <c r="B26" s="468" t="s">
        <v>23</v>
      </c>
      <c r="C26" s="470"/>
    </row>
    <row r="27" spans="1:3" ht="15.75" customHeight="1" thickBot="1">
      <c r="A27" s="467" t="s">
        <v>554</v>
      </c>
      <c r="B27" s="468" t="s">
        <v>24</v>
      </c>
      <c r="C27" s="470"/>
    </row>
    <row r="28" spans="1:5" ht="15.75" customHeight="1" thickBot="1">
      <c r="A28" s="969" t="s">
        <v>555</v>
      </c>
      <c r="B28" s="970"/>
      <c r="C28" s="475">
        <f>C9+C14+C19+C23+C27</f>
        <v>29096432</v>
      </c>
      <c r="E28" s="477"/>
    </row>
    <row r="29" ht="15.75">
      <c r="A29" s="478" t="s">
        <v>556</v>
      </c>
    </row>
    <row r="30" spans="1:3" ht="15.75">
      <c r="A30" s="479"/>
      <c r="B30" s="479"/>
      <c r="C30" s="593"/>
    </row>
    <row r="31" spans="1:2" ht="15.75">
      <c r="A31" s="480"/>
      <c r="B31" s="480"/>
    </row>
    <row r="32" spans="1:2" ht="15.75">
      <c r="A32" s="480"/>
      <c r="B32" s="480"/>
    </row>
  </sheetData>
  <sheetProtection/>
  <mergeCells count="5">
    <mergeCell ref="A5:C5"/>
    <mergeCell ref="A28:B28"/>
    <mergeCell ref="A1:C1"/>
    <mergeCell ref="A3:C3"/>
    <mergeCell ref="A4:C4"/>
  </mergeCells>
  <printOptions horizontalCentered="1"/>
  <pageMargins left="0.7874015748031497" right="0.7874015748031497" top="0.9448818897637796" bottom="0.984251968503937" header="0.7874015748031497" footer="0.7874015748031497"/>
  <pageSetup horizontalDpi="600" verticalDpi="600" orientation="portrait" paperSize="9" scale="9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F8"/>
  <sheetViews>
    <sheetView view="pageBreakPreview" zoomScale="60" zoomScaleNormal="120" zoomScalePageLayoutView="0" workbookViewId="0" topLeftCell="A1">
      <selection activeCell="A2" sqref="A2:E2"/>
    </sheetView>
  </sheetViews>
  <sheetFormatPr defaultColWidth="9.00390625" defaultRowHeight="12.75"/>
  <cols>
    <col min="1" max="1" width="9.375" style="70" customWidth="1"/>
    <col min="2" max="2" width="51.875" style="70" customWidth="1"/>
    <col min="3" max="3" width="25.00390625" style="70" customWidth="1"/>
    <col min="4" max="4" width="22.875" style="70" customWidth="1"/>
    <col min="5" max="5" width="25.00390625" style="70" customWidth="1"/>
    <col min="6" max="6" width="5.50390625" style="70" customWidth="1"/>
    <col min="7" max="16384" width="9.375" style="70" customWidth="1"/>
  </cols>
  <sheetData>
    <row r="1" spans="1:6" ht="12.75">
      <c r="A1" s="530"/>
      <c r="B1" s="530"/>
      <c r="C1" s="979" t="s">
        <v>1257</v>
      </c>
      <c r="D1" s="980"/>
      <c r="E1" s="980"/>
      <c r="F1" s="980"/>
    </row>
    <row r="2" spans="1:5" ht="15.75">
      <c r="A2" s="846" t="str">
        <f>CONCATENATE(PROPER(Z_ALAPADATOK!A3)," tulajdonában álló gazdálkodó szervezetek működéséből származó")</f>
        <v>Balatonvilágos Község Önkormányzata tulajdonában álló gazdálkodó szervezetek működéséből származó</v>
      </c>
      <c r="B2" s="846"/>
      <c r="C2" s="846"/>
      <c r="D2" s="846"/>
      <c r="E2" s="846"/>
    </row>
    <row r="3" spans="1:6" ht="15.75">
      <c r="A3" s="976" t="s">
        <v>738</v>
      </c>
      <c r="B3" s="846"/>
      <c r="C3" s="846"/>
      <c r="D3" s="846"/>
      <c r="E3" s="846"/>
      <c r="F3" s="973"/>
    </row>
    <row r="4" spans="1:6" ht="16.5" thickBot="1">
      <c r="A4" s="531"/>
      <c r="B4" s="530"/>
      <c r="C4" s="530"/>
      <c r="D4" s="530"/>
      <c r="E4" s="530"/>
      <c r="F4" s="973"/>
    </row>
    <row r="5" spans="1:6" ht="79.5" thickBot="1">
      <c r="A5" s="532" t="s">
        <v>535</v>
      </c>
      <c r="B5" s="533" t="s">
        <v>557</v>
      </c>
      <c r="C5" s="533" t="s">
        <v>558</v>
      </c>
      <c r="D5" s="533" t="s">
        <v>559</v>
      </c>
      <c r="E5" s="534" t="s">
        <v>560</v>
      </c>
      <c r="F5" s="973"/>
    </row>
    <row r="6" spans="1:6" ht="32.25" thickBot="1">
      <c r="A6" s="529" t="s">
        <v>6</v>
      </c>
      <c r="B6" s="650" t="s">
        <v>700</v>
      </c>
      <c r="C6" s="651">
        <v>0.45</v>
      </c>
      <c r="D6" s="652">
        <v>5639575</v>
      </c>
      <c r="E6" s="483"/>
      <c r="F6" s="973"/>
    </row>
    <row r="7" spans="1:6" ht="16.5" thickBot="1">
      <c r="A7" s="974" t="s">
        <v>561</v>
      </c>
      <c r="B7" s="975"/>
      <c r="C7" s="484"/>
      <c r="D7" s="485">
        <f>IF(SUM(D6:D6)=0,"",SUM(D6:D6))</f>
        <v>5639575</v>
      </c>
      <c r="E7" s="486">
        <f>IF(SUM(E6:E6)=0,"",SUM(E6:E6))</f>
      </c>
      <c r="F7" s="973"/>
    </row>
    <row r="8" ht="15.75">
      <c r="A8" s="482"/>
    </row>
  </sheetData>
  <sheetProtection/>
  <mergeCells count="5">
    <mergeCell ref="F3:F7"/>
    <mergeCell ref="A7:B7"/>
    <mergeCell ref="A2:E2"/>
    <mergeCell ref="A3:E3"/>
    <mergeCell ref="C1:F1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2:C15"/>
  <sheetViews>
    <sheetView tabSelected="1" view="pageBreakPreview" zoomScale="60" zoomScaleNormal="120" workbookViewId="0" topLeftCell="A1">
      <selection activeCell="G18" sqref="G18"/>
    </sheetView>
  </sheetViews>
  <sheetFormatPr defaultColWidth="9.00390625" defaultRowHeight="12.75"/>
  <cols>
    <col min="1" max="1" width="7.625" style="30" customWidth="1"/>
    <col min="2" max="2" width="60.875" style="30" customWidth="1"/>
    <col min="3" max="3" width="25.625" style="30" customWidth="1"/>
    <col min="4" max="16384" width="9.375" style="30" customWidth="1"/>
  </cols>
  <sheetData>
    <row r="2" spans="1:3" ht="15">
      <c r="A2" s="943" t="str">
        <f>CONCATENATE("32. melléklet ",Z_ALAPADATOK!A7," ",Z_ALAPADATOK!B7," ",Z_ALAPADATOK!C7," ",Z_ALAPADATOK!D7," ",Z_ALAPADATOK!E7," ",Z_ALAPADATOK!F7," ",Z_ALAPADATOK!G7," ",Z_ALAPADATOK!H7)</f>
        <v>32. melléklet a 3 / 2022. ( V. 26. ) önkormányzati rendelethez</v>
      </c>
      <c r="B2" s="978"/>
      <c r="C2" s="978"/>
    </row>
    <row r="3" spans="1:3" ht="14.25">
      <c r="A3" s="487"/>
      <c r="B3" s="487"/>
      <c r="C3" s="487"/>
    </row>
    <row r="4" spans="1:3" ht="33.75" customHeight="1">
      <c r="A4" s="977" t="s">
        <v>562</v>
      </c>
      <c r="B4" s="977"/>
      <c r="C4" s="977"/>
    </row>
    <row r="5" ht="13.5" thickBot="1">
      <c r="C5" s="488"/>
    </row>
    <row r="6" spans="1:3" s="492" customFormat="1" ht="43.5" customHeight="1" thickBot="1">
      <c r="A6" s="489" t="s">
        <v>4</v>
      </c>
      <c r="B6" s="490" t="s">
        <v>45</v>
      </c>
      <c r="C6" s="491" t="s">
        <v>563</v>
      </c>
    </row>
    <row r="7" spans="1:3" ht="28.5" customHeight="1">
      <c r="A7" s="493" t="s">
        <v>6</v>
      </c>
      <c r="B7" s="494" t="s">
        <v>739</v>
      </c>
      <c r="C7" s="580">
        <v>332259297</v>
      </c>
    </row>
    <row r="8" spans="1:3" ht="18" customHeight="1">
      <c r="A8" s="495" t="s">
        <v>7</v>
      </c>
      <c r="B8" s="496" t="s">
        <v>564</v>
      </c>
      <c r="C8" s="535">
        <v>332181537</v>
      </c>
    </row>
    <row r="9" spans="1:3" ht="18" customHeight="1">
      <c r="A9" s="495" t="s">
        <v>8</v>
      </c>
      <c r="B9" s="496" t="s">
        <v>565</v>
      </c>
      <c r="C9" s="535">
        <v>77760</v>
      </c>
    </row>
    <row r="10" spans="1:3" ht="18" customHeight="1">
      <c r="A10" s="495" t="s">
        <v>9</v>
      </c>
      <c r="B10" s="497" t="s">
        <v>566</v>
      </c>
      <c r="C10" s="535">
        <v>1136706008</v>
      </c>
    </row>
    <row r="11" spans="1:3" ht="18" customHeight="1">
      <c r="A11" s="498" t="s">
        <v>10</v>
      </c>
      <c r="B11" s="499" t="s">
        <v>567</v>
      </c>
      <c r="C11" s="536">
        <v>-869992386</v>
      </c>
    </row>
    <row r="12" spans="1:3" ht="18" customHeight="1" thickBot="1">
      <c r="A12" s="500" t="s">
        <v>11</v>
      </c>
      <c r="B12" s="501" t="s">
        <v>568</v>
      </c>
      <c r="C12" s="537">
        <v>-306432022</v>
      </c>
    </row>
    <row r="13" spans="1:3" ht="25.5" customHeight="1">
      <c r="A13" s="502" t="s">
        <v>12</v>
      </c>
      <c r="B13" s="503" t="s">
        <v>701</v>
      </c>
      <c r="C13" s="538">
        <f>C7+C10+C11+C12</f>
        <v>292540897</v>
      </c>
    </row>
    <row r="14" spans="1:3" ht="18" customHeight="1">
      <c r="A14" s="495" t="s">
        <v>13</v>
      </c>
      <c r="B14" s="496" t="s">
        <v>564</v>
      </c>
      <c r="C14" s="535">
        <v>292331392</v>
      </c>
    </row>
    <row r="15" spans="1:3" ht="18" customHeight="1" thickBot="1">
      <c r="A15" s="500" t="s">
        <v>14</v>
      </c>
      <c r="B15" s="504" t="s">
        <v>565</v>
      </c>
      <c r="C15" s="537">
        <v>209505</v>
      </c>
    </row>
  </sheetData>
  <sheetProtection/>
  <mergeCells count="2">
    <mergeCell ref="A4:C4"/>
    <mergeCell ref="A2:C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168"/>
  <sheetViews>
    <sheetView view="pageBreakPreview" zoomScaleNormal="120" zoomScaleSheetLayoutView="100" workbookViewId="0" topLeftCell="A1">
      <selection activeCell="C81" sqref="C81"/>
    </sheetView>
  </sheetViews>
  <sheetFormatPr defaultColWidth="9.00390625" defaultRowHeight="12.75"/>
  <cols>
    <col min="1" max="1" width="9.50390625" style="139" customWidth="1"/>
    <col min="2" max="2" width="65.875" style="139" customWidth="1"/>
    <col min="3" max="3" width="17.875" style="140" customWidth="1"/>
    <col min="4" max="5" width="17.875" style="161" customWidth="1"/>
    <col min="6" max="6" width="9.375" style="161" customWidth="1"/>
    <col min="7" max="7" width="28.00390625" style="161" hidden="1" customWidth="1"/>
    <col min="8" max="16" width="14.50390625" style="161" hidden="1" customWidth="1"/>
    <col min="17" max="16384" width="9.375" style="161" customWidth="1"/>
  </cols>
  <sheetData>
    <row r="1" spans="1:5" ht="15.75">
      <c r="A1" s="351"/>
      <c r="B1" s="828" t="str">
        <f>CONCATENATE("1. melléklet ",Z_ALAPADATOK!A7," ",Z_ALAPADATOK!B7," ",Z_ALAPADATOK!C7," ",Z_ALAPADATOK!D7," ",Z_ALAPADATOK!E7," ",Z_ALAPADATOK!F7," ",Z_ALAPADATOK!G7," ",Z_ALAPADATOK!H7)</f>
        <v>1. melléklet a 3 / 2022. ( V. 26. ) önkormányzati rendelethez</v>
      </c>
      <c r="C1" s="829"/>
      <c r="D1" s="829"/>
      <c r="E1" s="829"/>
    </row>
    <row r="2" spans="1:5" ht="15.75">
      <c r="A2" s="830" t="str">
        <f>CONCATENATE(Z_ALAPADATOK!A3)</f>
        <v>Balatonvilágos Község Önkormányzata</v>
      </c>
      <c r="B2" s="831"/>
      <c r="C2" s="831"/>
      <c r="D2" s="831"/>
      <c r="E2" s="831"/>
    </row>
    <row r="3" spans="1:5" ht="15.75">
      <c r="A3" s="830" t="s">
        <v>722</v>
      </c>
      <c r="B3" s="830"/>
      <c r="C3" s="832"/>
      <c r="D3" s="830"/>
      <c r="E3" s="830"/>
    </row>
    <row r="4" spans="1:5" ht="12" customHeight="1">
      <c r="A4" s="830"/>
      <c r="B4" s="830"/>
      <c r="C4" s="832"/>
      <c r="D4" s="830"/>
      <c r="E4" s="830"/>
    </row>
    <row r="5" spans="1:5" ht="15.75">
      <c r="A5" s="351"/>
      <c r="B5" s="351"/>
      <c r="C5" s="352"/>
      <c r="D5" s="353"/>
      <c r="E5" s="353"/>
    </row>
    <row r="6" spans="1:5" ht="15.75" customHeight="1">
      <c r="A6" s="842" t="s">
        <v>3</v>
      </c>
      <c r="B6" s="842"/>
      <c r="C6" s="842"/>
      <c r="D6" s="842"/>
      <c r="E6" s="842"/>
    </row>
    <row r="7" spans="1:5" ht="15.75" customHeight="1" thickBot="1">
      <c r="A7" s="844" t="s">
        <v>101</v>
      </c>
      <c r="B7" s="844"/>
      <c r="C7" s="354"/>
      <c r="D7" s="353"/>
      <c r="E7" s="354" t="s">
        <v>490</v>
      </c>
    </row>
    <row r="8" spans="1:5" ht="15.75">
      <c r="A8" s="834" t="s">
        <v>51</v>
      </c>
      <c r="B8" s="836" t="s">
        <v>5</v>
      </c>
      <c r="C8" s="838" t="str">
        <f>+CONCATENATE(LEFT(Z_ÖSSZEFÜGGÉSEK!A6,4),". évi")</f>
        <v>2021. évi</v>
      </c>
      <c r="D8" s="839"/>
      <c r="E8" s="840"/>
    </row>
    <row r="9" spans="1:5" ht="24.75" thickBot="1">
      <c r="A9" s="835"/>
      <c r="B9" s="837"/>
      <c r="C9" s="231" t="s">
        <v>417</v>
      </c>
      <c r="D9" s="230" t="s">
        <v>418</v>
      </c>
      <c r="E9" s="340" t="str">
        <f>+CONCATENATE(LEFT(Z_ÖSSZEFÜGGÉSEK!A6,4),". XII. 31.",CHAR(10),"teljesítés")</f>
        <v>2021. XII. 31.
teljesítés</v>
      </c>
    </row>
    <row r="10" spans="1:5" s="162" customFormat="1" ht="12" customHeight="1" thickBot="1">
      <c r="A10" s="158" t="s">
        <v>384</v>
      </c>
      <c r="B10" s="159" t="s">
        <v>385</v>
      </c>
      <c r="C10" s="159" t="s">
        <v>386</v>
      </c>
      <c r="D10" s="159" t="s">
        <v>388</v>
      </c>
      <c r="E10" s="232" t="s">
        <v>387</v>
      </c>
    </row>
    <row r="11" spans="1:16" s="163" customFormat="1" ht="12" customHeight="1" thickBot="1">
      <c r="A11" s="18" t="s">
        <v>6</v>
      </c>
      <c r="B11" s="19" t="s">
        <v>159</v>
      </c>
      <c r="C11" s="151">
        <f>+C12+C13+C14+C16+C17+C18+C15</f>
        <v>109423587</v>
      </c>
      <c r="D11" s="151">
        <f>+D12+D13+D14+D16+D17+D18+D15</f>
        <v>138642904</v>
      </c>
      <c r="E11" s="87">
        <f>+E12+E13+E14+E15+E16+E17+E18</f>
        <v>138642904</v>
      </c>
      <c r="G11" s="19" t="s">
        <v>159</v>
      </c>
      <c r="H11" s="151">
        <f>+H12+H13+H14+H16+H17+H18</f>
        <v>101477460</v>
      </c>
      <c r="I11" s="151">
        <f aca="true" t="shared" si="0" ref="I11:P11">+I12+I13+I14+I16+I17+I18</f>
        <v>-2146896</v>
      </c>
      <c r="J11" s="151">
        <f t="shared" si="0"/>
        <v>0</v>
      </c>
      <c r="K11" s="151">
        <f t="shared" si="0"/>
        <v>36448107</v>
      </c>
      <c r="L11" s="151">
        <f t="shared" si="0"/>
        <v>0</v>
      </c>
      <c r="M11" s="151">
        <f t="shared" si="0"/>
        <v>0</v>
      </c>
      <c r="N11" s="151">
        <f t="shared" si="0"/>
        <v>0</v>
      </c>
      <c r="O11" s="151">
        <f t="shared" si="0"/>
        <v>34301211</v>
      </c>
      <c r="P11" s="87">
        <f t="shared" si="0"/>
        <v>135778671</v>
      </c>
    </row>
    <row r="12" spans="1:16" s="163" customFormat="1" ht="12" customHeight="1">
      <c r="A12" s="13" t="s">
        <v>63</v>
      </c>
      <c r="B12" s="164" t="s">
        <v>160</v>
      </c>
      <c r="C12" s="753">
        <v>33220345</v>
      </c>
      <c r="D12" s="235">
        <v>33400297</v>
      </c>
      <c r="E12" s="89">
        <v>33400297</v>
      </c>
      <c r="G12" s="164" t="s">
        <v>160</v>
      </c>
      <c r="H12" s="153">
        <v>42829123</v>
      </c>
      <c r="I12" s="153">
        <v>-12615197</v>
      </c>
      <c r="J12" s="153"/>
      <c r="K12" s="153">
        <v>109687</v>
      </c>
      <c r="L12" s="153"/>
      <c r="M12" s="153"/>
      <c r="N12" s="153"/>
      <c r="O12" s="584">
        <f aca="true" t="shared" si="1" ref="O12:O18">I12+J12+K12+L12+M12+N12</f>
        <v>-12505510</v>
      </c>
      <c r="P12" s="653">
        <f aca="true" t="shared" si="2" ref="P12:P18">H12+O12</f>
        <v>30323613</v>
      </c>
    </row>
    <row r="13" spans="1:16" s="163" customFormat="1" ht="12" customHeight="1">
      <c r="A13" s="12" t="s">
        <v>64</v>
      </c>
      <c r="B13" s="165" t="s">
        <v>161</v>
      </c>
      <c r="C13" s="754">
        <v>40685820</v>
      </c>
      <c r="D13" s="236">
        <v>40132170</v>
      </c>
      <c r="E13" s="88">
        <v>40132170</v>
      </c>
      <c r="G13" s="165" t="s">
        <v>161</v>
      </c>
      <c r="H13" s="152">
        <v>28963099</v>
      </c>
      <c r="I13" s="152">
        <v>11571501</v>
      </c>
      <c r="J13" s="153"/>
      <c r="K13" s="153">
        <v>1820678</v>
      </c>
      <c r="L13" s="153"/>
      <c r="M13" s="153"/>
      <c r="N13" s="153"/>
      <c r="O13" s="584">
        <f t="shared" si="1"/>
        <v>13392179</v>
      </c>
      <c r="P13" s="653">
        <f t="shared" si="2"/>
        <v>42355278</v>
      </c>
    </row>
    <row r="14" spans="1:16" s="163" customFormat="1" ht="12" customHeight="1">
      <c r="A14" s="12" t="s">
        <v>65</v>
      </c>
      <c r="B14" s="165" t="s">
        <v>162</v>
      </c>
      <c r="C14" s="754">
        <v>9485920</v>
      </c>
      <c r="D14" s="236">
        <v>10036407</v>
      </c>
      <c r="E14" s="88">
        <v>10036407</v>
      </c>
      <c r="G14" s="165" t="s">
        <v>162</v>
      </c>
      <c r="H14" s="152">
        <v>27828754</v>
      </c>
      <c r="I14" s="152">
        <v>-1103200</v>
      </c>
      <c r="J14" s="153"/>
      <c r="K14" s="153">
        <v>8632724</v>
      </c>
      <c r="L14" s="153"/>
      <c r="M14" s="153"/>
      <c r="N14" s="153"/>
      <c r="O14" s="584">
        <f t="shared" si="1"/>
        <v>7529524</v>
      </c>
      <c r="P14" s="653">
        <f t="shared" si="2"/>
        <v>35358278</v>
      </c>
    </row>
    <row r="15" spans="1:16" s="163" customFormat="1" ht="12" customHeight="1">
      <c r="A15" s="12" t="s">
        <v>66</v>
      </c>
      <c r="B15" s="165" t="s">
        <v>623</v>
      </c>
      <c r="C15" s="754">
        <v>22826412</v>
      </c>
      <c r="D15" s="236">
        <v>27358771</v>
      </c>
      <c r="E15" s="88">
        <v>27358771</v>
      </c>
      <c r="G15" s="165"/>
      <c r="H15" s="152"/>
      <c r="I15" s="152"/>
      <c r="J15" s="153"/>
      <c r="K15" s="153"/>
      <c r="L15" s="153"/>
      <c r="M15" s="153"/>
      <c r="N15" s="153"/>
      <c r="O15" s="584"/>
      <c r="P15" s="653"/>
    </row>
    <row r="16" spans="1:16" s="163" customFormat="1" ht="12" customHeight="1">
      <c r="A16" s="12" t="s">
        <v>98</v>
      </c>
      <c r="B16" s="165" t="s">
        <v>163</v>
      </c>
      <c r="C16" s="754">
        <v>3205090</v>
      </c>
      <c r="D16" s="236">
        <v>3258262</v>
      </c>
      <c r="E16" s="88">
        <v>3258262</v>
      </c>
      <c r="G16" s="165" t="s">
        <v>163</v>
      </c>
      <c r="H16" s="152">
        <v>1856484</v>
      </c>
      <c r="I16" s="152"/>
      <c r="J16" s="153"/>
      <c r="K16" s="153">
        <v>638120</v>
      </c>
      <c r="L16" s="153"/>
      <c r="M16" s="153"/>
      <c r="N16" s="153"/>
      <c r="O16" s="584">
        <f t="shared" si="1"/>
        <v>638120</v>
      </c>
      <c r="P16" s="653">
        <f t="shared" si="2"/>
        <v>2494604</v>
      </c>
    </row>
    <row r="17" spans="1:16" s="163" customFormat="1" ht="12" customHeight="1">
      <c r="A17" s="14" t="s">
        <v>67</v>
      </c>
      <c r="B17" s="165" t="s">
        <v>392</v>
      </c>
      <c r="C17" s="152"/>
      <c r="D17" s="236">
        <v>23704197</v>
      </c>
      <c r="E17" s="88">
        <v>23704197</v>
      </c>
      <c r="G17" s="95" t="s">
        <v>332</v>
      </c>
      <c r="H17" s="152"/>
      <c r="I17" s="152"/>
      <c r="J17" s="153"/>
      <c r="K17" s="153">
        <v>18179500</v>
      </c>
      <c r="L17" s="153"/>
      <c r="M17" s="153"/>
      <c r="N17" s="153"/>
      <c r="O17" s="584">
        <f t="shared" si="1"/>
        <v>18179500</v>
      </c>
      <c r="P17" s="653">
        <f t="shared" si="2"/>
        <v>18179500</v>
      </c>
    </row>
    <row r="18" spans="1:16" s="163" customFormat="1" ht="12" customHeight="1" thickBot="1">
      <c r="A18" s="14" t="s">
        <v>68</v>
      </c>
      <c r="B18" s="403" t="s">
        <v>811</v>
      </c>
      <c r="C18" s="152"/>
      <c r="D18" s="236">
        <v>752800</v>
      </c>
      <c r="E18" s="88">
        <v>752800</v>
      </c>
      <c r="G18" s="96" t="s">
        <v>333</v>
      </c>
      <c r="H18" s="152"/>
      <c r="I18" s="152"/>
      <c r="J18" s="153"/>
      <c r="K18" s="153">
        <v>7067398</v>
      </c>
      <c r="L18" s="153"/>
      <c r="M18" s="153"/>
      <c r="N18" s="153"/>
      <c r="O18" s="584">
        <f t="shared" si="1"/>
        <v>7067398</v>
      </c>
      <c r="P18" s="653">
        <f t="shared" si="2"/>
        <v>7067398</v>
      </c>
    </row>
    <row r="19" spans="1:16" s="163" customFormat="1" ht="12" customHeight="1" thickBot="1">
      <c r="A19" s="18" t="s">
        <v>7</v>
      </c>
      <c r="B19" s="94" t="s">
        <v>164</v>
      </c>
      <c r="C19" s="151">
        <f>+C20+C21+C22+C23+C24</f>
        <v>18977700</v>
      </c>
      <c r="D19" s="234">
        <f>+D20+D21+D22+D23+D24</f>
        <v>29061506</v>
      </c>
      <c r="E19" s="87">
        <f>+E20+E21+E22+E23+E24</f>
        <v>28876906</v>
      </c>
      <c r="G19" s="94" t="s">
        <v>164</v>
      </c>
      <c r="H19" s="151">
        <f>+H20+H21+H22+H23+H24</f>
        <v>18135500</v>
      </c>
      <c r="I19" s="151">
        <f aca="true" t="shared" si="3" ref="I19:P19">+I20+I21+I22+I23+I24</f>
        <v>7567398</v>
      </c>
      <c r="J19" s="151">
        <f t="shared" si="3"/>
        <v>0</v>
      </c>
      <c r="K19" s="151">
        <f t="shared" si="3"/>
        <v>-7067398</v>
      </c>
      <c r="L19" s="151">
        <f t="shared" si="3"/>
        <v>0</v>
      </c>
      <c r="M19" s="151">
        <f t="shared" si="3"/>
        <v>0</v>
      </c>
      <c r="N19" s="151">
        <f t="shared" si="3"/>
        <v>0</v>
      </c>
      <c r="O19" s="151">
        <f t="shared" si="3"/>
        <v>500000</v>
      </c>
      <c r="P19" s="87">
        <f t="shared" si="3"/>
        <v>18635500</v>
      </c>
    </row>
    <row r="20" spans="1:16" s="163" customFormat="1" ht="12" customHeight="1">
      <c r="A20" s="13" t="s">
        <v>69</v>
      </c>
      <c r="B20" s="164" t="s">
        <v>165</v>
      </c>
      <c r="C20" s="153"/>
      <c r="D20" s="235"/>
      <c r="E20" s="89"/>
      <c r="G20" s="164" t="s">
        <v>165</v>
      </c>
      <c r="H20" s="153"/>
      <c r="I20" s="153"/>
      <c r="J20" s="153"/>
      <c r="K20" s="153"/>
      <c r="L20" s="153"/>
      <c r="M20" s="153"/>
      <c r="N20" s="153"/>
      <c r="O20" s="584">
        <f aca="true" t="shared" si="4" ref="O20:O25">I20+J20+K20+L20+M20+N20</f>
        <v>0</v>
      </c>
      <c r="P20" s="653">
        <f aca="true" t="shared" si="5" ref="P20:P25">H20+O20</f>
        <v>0</v>
      </c>
    </row>
    <row r="21" spans="1:16" s="163" customFormat="1" ht="12" customHeight="1">
      <c r="A21" s="12" t="s">
        <v>70</v>
      </c>
      <c r="B21" s="165" t="s">
        <v>166</v>
      </c>
      <c r="C21" s="152"/>
      <c r="D21" s="236"/>
      <c r="E21" s="88"/>
      <c r="G21" s="165" t="s">
        <v>166</v>
      </c>
      <c r="H21" s="152"/>
      <c r="I21" s="152"/>
      <c r="J21" s="153"/>
      <c r="K21" s="153"/>
      <c r="L21" s="153"/>
      <c r="M21" s="153"/>
      <c r="N21" s="153"/>
      <c r="O21" s="584">
        <f t="shared" si="4"/>
        <v>0</v>
      </c>
      <c r="P21" s="653">
        <f t="shared" si="5"/>
        <v>0</v>
      </c>
    </row>
    <row r="22" spans="1:16" s="163" customFormat="1" ht="12" customHeight="1">
      <c r="A22" s="12" t="s">
        <v>71</v>
      </c>
      <c r="B22" s="165" t="s">
        <v>324</v>
      </c>
      <c r="C22" s="152"/>
      <c r="D22" s="236"/>
      <c r="E22" s="88"/>
      <c r="G22" s="165" t="s">
        <v>324</v>
      </c>
      <c r="H22" s="152"/>
      <c r="I22" s="152"/>
      <c r="J22" s="153"/>
      <c r="K22" s="153"/>
      <c r="L22" s="153"/>
      <c r="M22" s="153"/>
      <c r="N22" s="153"/>
      <c r="O22" s="584">
        <f t="shared" si="4"/>
        <v>0</v>
      </c>
      <c r="P22" s="653">
        <f t="shared" si="5"/>
        <v>0</v>
      </c>
    </row>
    <row r="23" spans="1:16" s="163" customFormat="1" ht="12" customHeight="1">
      <c r="A23" s="12" t="s">
        <v>72</v>
      </c>
      <c r="B23" s="165" t="s">
        <v>325</v>
      </c>
      <c r="C23" s="152"/>
      <c r="D23" s="236"/>
      <c r="E23" s="88"/>
      <c r="G23" s="165" t="s">
        <v>325</v>
      </c>
      <c r="H23" s="152"/>
      <c r="I23" s="152"/>
      <c r="J23" s="153"/>
      <c r="K23" s="153"/>
      <c r="L23" s="153"/>
      <c r="M23" s="153"/>
      <c r="N23" s="153"/>
      <c r="O23" s="584">
        <f t="shared" si="4"/>
        <v>0</v>
      </c>
      <c r="P23" s="653">
        <f t="shared" si="5"/>
        <v>0</v>
      </c>
    </row>
    <row r="24" spans="1:16" s="163" customFormat="1" ht="12" customHeight="1">
      <c r="A24" s="12" t="s">
        <v>73</v>
      </c>
      <c r="B24" s="165" t="s">
        <v>167</v>
      </c>
      <c r="C24" s="152">
        <v>18977700</v>
      </c>
      <c r="D24" s="236">
        <v>29061506</v>
      </c>
      <c r="E24" s="88">
        <v>28876906</v>
      </c>
      <c r="G24" s="165" t="s">
        <v>167</v>
      </c>
      <c r="H24" s="152">
        <v>18135500</v>
      </c>
      <c r="I24" s="152">
        <v>7567398</v>
      </c>
      <c r="J24" s="153"/>
      <c r="K24" s="153">
        <v>-7067398</v>
      </c>
      <c r="L24" s="153"/>
      <c r="M24" s="153"/>
      <c r="N24" s="153"/>
      <c r="O24" s="584">
        <f t="shared" si="4"/>
        <v>500000</v>
      </c>
      <c r="P24" s="653">
        <f t="shared" si="5"/>
        <v>18635500</v>
      </c>
    </row>
    <row r="25" spans="1:16" s="163" customFormat="1" ht="12" customHeight="1" thickBot="1">
      <c r="A25" s="14" t="s">
        <v>80</v>
      </c>
      <c r="B25" s="96" t="s">
        <v>168</v>
      </c>
      <c r="C25" s="154"/>
      <c r="D25" s="237"/>
      <c r="E25" s="90"/>
      <c r="G25" s="96" t="s">
        <v>168</v>
      </c>
      <c r="H25" s="154"/>
      <c r="I25" s="154"/>
      <c r="J25" s="654"/>
      <c r="K25" s="654"/>
      <c r="L25" s="654"/>
      <c r="M25" s="654"/>
      <c r="N25" s="654"/>
      <c r="O25" s="584">
        <f t="shared" si="4"/>
        <v>0</v>
      </c>
      <c r="P25" s="653">
        <f t="shared" si="5"/>
        <v>0</v>
      </c>
    </row>
    <row r="26" spans="1:16" s="163" customFormat="1" ht="12" customHeight="1" thickBot="1">
      <c r="A26" s="18" t="s">
        <v>8</v>
      </c>
      <c r="B26" s="19" t="s">
        <v>169</v>
      </c>
      <c r="C26" s="151">
        <f>+C27+C28+C29+C30+C31</f>
        <v>0</v>
      </c>
      <c r="D26" s="234">
        <f>+D27+D28+D29+D30+D31</f>
        <v>50735946</v>
      </c>
      <c r="E26" s="87">
        <f>+E27+E28+E29+E30+E31</f>
        <v>50735946</v>
      </c>
      <c r="G26" s="19" t="s">
        <v>169</v>
      </c>
      <c r="H26" s="151">
        <f>+H27+H28+H29+H30+H31</f>
        <v>0</v>
      </c>
      <c r="I26" s="151">
        <f aca="true" t="shared" si="6" ref="I26:P26">+I27+I28+I29+I30+I31</f>
        <v>0</v>
      </c>
      <c r="J26" s="151">
        <f t="shared" si="6"/>
        <v>52010139</v>
      </c>
      <c r="K26" s="151">
        <f t="shared" si="6"/>
        <v>56279836</v>
      </c>
      <c r="L26" s="151">
        <f t="shared" si="6"/>
        <v>0</v>
      </c>
      <c r="M26" s="151">
        <f t="shared" si="6"/>
        <v>0</v>
      </c>
      <c r="N26" s="151">
        <f t="shared" si="6"/>
        <v>0</v>
      </c>
      <c r="O26" s="151">
        <f t="shared" si="6"/>
        <v>108289975</v>
      </c>
      <c r="P26" s="87">
        <f t="shared" si="6"/>
        <v>108289975</v>
      </c>
    </row>
    <row r="27" spans="1:16" s="163" customFormat="1" ht="12" customHeight="1">
      <c r="A27" s="13" t="s">
        <v>52</v>
      </c>
      <c r="B27" s="164" t="s">
        <v>170</v>
      </c>
      <c r="C27" s="153"/>
      <c r="D27" s="235">
        <v>50735946</v>
      </c>
      <c r="E27" s="89">
        <v>50735946</v>
      </c>
      <c r="G27" s="164" t="s">
        <v>170</v>
      </c>
      <c r="H27" s="153"/>
      <c r="I27" s="153"/>
      <c r="J27" s="153"/>
      <c r="K27" s="153"/>
      <c r="L27" s="153"/>
      <c r="M27" s="153"/>
      <c r="N27" s="153"/>
      <c r="O27" s="584">
        <f aca="true" t="shared" si="7" ref="O27:O32">I27+J27+K27+L27+M27+N27</f>
        <v>0</v>
      </c>
      <c r="P27" s="653">
        <f aca="true" t="shared" si="8" ref="P27:P32">H27+O27</f>
        <v>0</v>
      </c>
    </row>
    <row r="28" spans="1:16" s="163" customFormat="1" ht="12" customHeight="1">
      <c r="A28" s="12" t="s">
        <v>53</v>
      </c>
      <c r="B28" s="165" t="s">
        <v>171</v>
      </c>
      <c r="C28" s="152"/>
      <c r="D28" s="236"/>
      <c r="E28" s="88"/>
      <c r="G28" s="165" t="s">
        <v>171</v>
      </c>
      <c r="H28" s="152"/>
      <c r="I28" s="152"/>
      <c r="J28" s="153"/>
      <c r="K28" s="153"/>
      <c r="L28" s="153"/>
      <c r="M28" s="153"/>
      <c r="N28" s="153"/>
      <c r="O28" s="584">
        <f t="shared" si="7"/>
        <v>0</v>
      </c>
      <c r="P28" s="653">
        <f t="shared" si="8"/>
        <v>0</v>
      </c>
    </row>
    <row r="29" spans="1:16" s="163" customFormat="1" ht="12" customHeight="1">
      <c r="A29" s="12" t="s">
        <v>54</v>
      </c>
      <c r="B29" s="165" t="s">
        <v>326</v>
      </c>
      <c r="C29" s="152"/>
      <c r="D29" s="236"/>
      <c r="E29" s="88"/>
      <c r="G29" s="165" t="s">
        <v>326</v>
      </c>
      <c r="H29" s="152"/>
      <c r="I29" s="152"/>
      <c r="J29" s="153"/>
      <c r="K29" s="153"/>
      <c r="L29" s="153"/>
      <c r="M29" s="153"/>
      <c r="N29" s="153"/>
      <c r="O29" s="584">
        <f t="shared" si="7"/>
        <v>0</v>
      </c>
      <c r="P29" s="653">
        <f t="shared" si="8"/>
        <v>0</v>
      </c>
    </row>
    <row r="30" spans="1:16" s="163" customFormat="1" ht="12" customHeight="1">
      <c r="A30" s="12" t="s">
        <v>55</v>
      </c>
      <c r="B30" s="165" t="s">
        <v>327</v>
      </c>
      <c r="C30" s="152"/>
      <c r="D30" s="236"/>
      <c r="E30" s="88"/>
      <c r="G30" s="165" t="s">
        <v>327</v>
      </c>
      <c r="H30" s="152"/>
      <c r="I30" s="152"/>
      <c r="J30" s="153"/>
      <c r="K30" s="153"/>
      <c r="L30" s="153"/>
      <c r="M30" s="153"/>
      <c r="N30" s="153"/>
      <c r="O30" s="584">
        <f t="shared" si="7"/>
        <v>0</v>
      </c>
      <c r="P30" s="653">
        <f t="shared" si="8"/>
        <v>0</v>
      </c>
    </row>
    <row r="31" spans="1:16" s="163" customFormat="1" ht="12" customHeight="1">
      <c r="A31" s="12" t="s">
        <v>111</v>
      </c>
      <c r="B31" s="165" t="s">
        <v>172</v>
      </c>
      <c r="C31" s="152"/>
      <c r="D31" s="236"/>
      <c r="E31" s="88"/>
      <c r="G31" s="165" t="s">
        <v>172</v>
      </c>
      <c r="H31" s="152"/>
      <c r="I31" s="152"/>
      <c r="J31" s="153">
        <v>52010139</v>
      </c>
      <c r="K31" s="153">
        <v>56279836</v>
      </c>
      <c r="L31" s="153"/>
      <c r="M31" s="153"/>
      <c r="N31" s="153"/>
      <c r="O31" s="584">
        <f t="shared" si="7"/>
        <v>108289975</v>
      </c>
      <c r="P31" s="653">
        <f t="shared" si="8"/>
        <v>108289975</v>
      </c>
    </row>
    <row r="32" spans="1:16" s="163" customFormat="1" ht="12" customHeight="1" thickBot="1">
      <c r="A32" s="14" t="s">
        <v>112</v>
      </c>
      <c r="B32" s="166" t="s">
        <v>173</v>
      </c>
      <c r="C32" s="154"/>
      <c r="D32" s="237"/>
      <c r="E32" s="90"/>
      <c r="G32" s="166" t="s">
        <v>173</v>
      </c>
      <c r="H32" s="154"/>
      <c r="I32" s="154"/>
      <c r="J32" s="654"/>
      <c r="K32" s="654"/>
      <c r="L32" s="654"/>
      <c r="M32" s="654"/>
      <c r="N32" s="654"/>
      <c r="O32" s="655">
        <f t="shared" si="7"/>
        <v>0</v>
      </c>
      <c r="P32" s="653">
        <f t="shared" si="8"/>
        <v>0</v>
      </c>
    </row>
    <row r="33" spans="1:16" s="163" customFormat="1" ht="12" customHeight="1" thickBot="1">
      <c r="A33" s="18" t="s">
        <v>113</v>
      </c>
      <c r="B33" s="19" t="s">
        <v>478</v>
      </c>
      <c r="C33" s="157">
        <f>+C34+C36+C37+C38+C39+C40+C41+C35</f>
        <v>177300000</v>
      </c>
      <c r="D33" s="238">
        <f>SUM(D34:D41)</f>
        <v>203416565</v>
      </c>
      <c r="E33" s="193">
        <f>SUM(E34:E41)</f>
        <v>202623772</v>
      </c>
      <c r="G33" s="19" t="s">
        <v>506</v>
      </c>
      <c r="H33" s="157">
        <f>+H34+H35+H36+H37+H38+H39+H41</f>
        <v>199329000</v>
      </c>
      <c r="I33" s="157">
        <f aca="true" t="shared" si="9" ref="I33:P33">+I34+I35+I36+I37+I38+I39+I41</f>
        <v>-9000000</v>
      </c>
      <c r="J33" s="157">
        <f t="shared" si="9"/>
        <v>0</v>
      </c>
      <c r="K33" s="157">
        <f t="shared" si="9"/>
        <v>0</v>
      </c>
      <c r="L33" s="157">
        <f t="shared" si="9"/>
        <v>0</v>
      </c>
      <c r="M33" s="157">
        <f t="shared" si="9"/>
        <v>0</v>
      </c>
      <c r="N33" s="157">
        <f t="shared" si="9"/>
        <v>0</v>
      </c>
      <c r="O33" s="157">
        <f t="shared" si="9"/>
        <v>-9000000</v>
      </c>
      <c r="P33" s="193">
        <f t="shared" si="9"/>
        <v>190329000</v>
      </c>
    </row>
    <row r="34" spans="1:16" s="163" customFormat="1" ht="12" customHeight="1">
      <c r="A34" s="181" t="s">
        <v>174</v>
      </c>
      <c r="B34" s="164" t="s">
        <v>479</v>
      </c>
      <c r="C34" s="584">
        <v>135000000</v>
      </c>
      <c r="D34" s="153">
        <v>135000000</v>
      </c>
      <c r="E34" s="89">
        <v>133908220</v>
      </c>
      <c r="G34" s="164" t="s">
        <v>479</v>
      </c>
      <c r="H34" s="584">
        <v>141679000</v>
      </c>
      <c r="I34" s="584"/>
      <c r="J34" s="584"/>
      <c r="K34" s="584"/>
      <c r="L34" s="584"/>
      <c r="M34" s="584"/>
      <c r="N34" s="584"/>
      <c r="O34" s="584">
        <f aca="true" t="shared" si="10" ref="O34:O41">I34+J34+K34+L34+M34+N34</f>
        <v>0</v>
      </c>
      <c r="P34" s="653">
        <f aca="true" t="shared" si="11" ref="P34:P41">H34+O34</f>
        <v>141679000</v>
      </c>
    </row>
    <row r="35" spans="1:16" s="163" customFormat="1" ht="12" customHeight="1">
      <c r="A35" s="181" t="s">
        <v>175</v>
      </c>
      <c r="B35" s="164" t="s">
        <v>769</v>
      </c>
      <c r="C35" s="584">
        <v>6500000</v>
      </c>
      <c r="D35" s="152">
        <v>6500000</v>
      </c>
      <c r="E35" s="88">
        <v>6818987</v>
      </c>
      <c r="G35" s="165" t="s">
        <v>480</v>
      </c>
      <c r="H35" s="152">
        <v>18000000</v>
      </c>
      <c r="I35" s="152">
        <v>-5000000</v>
      </c>
      <c r="J35" s="153"/>
      <c r="K35" s="153"/>
      <c r="L35" s="153"/>
      <c r="M35" s="153"/>
      <c r="N35" s="153"/>
      <c r="O35" s="584">
        <f t="shared" si="10"/>
        <v>-5000000</v>
      </c>
      <c r="P35" s="653">
        <f t="shared" si="11"/>
        <v>13000000</v>
      </c>
    </row>
    <row r="36" spans="1:16" s="163" customFormat="1" ht="12" customHeight="1">
      <c r="A36" s="182" t="s">
        <v>176</v>
      </c>
      <c r="B36" s="165" t="s">
        <v>480</v>
      </c>
      <c r="C36" s="152"/>
      <c r="D36" s="152">
        <v>14218800</v>
      </c>
      <c r="E36" s="88">
        <v>14218800</v>
      </c>
      <c r="G36" s="165" t="s">
        <v>481</v>
      </c>
      <c r="H36" s="152">
        <v>35000000</v>
      </c>
      <c r="I36" s="152"/>
      <c r="J36" s="153"/>
      <c r="K36" s="153"/>
      <c r="L36" s="153"/>
      <c r="M36" s="153"/>
      <c r="N36" s="153"/>
      <c r="O36" s="584">
        <f t="shared" si="10"/>
        <v>0</v>
      </c>
      <c r="P36" s="653">
        <f t="shared" si="11"/>
        <v>35000000</v>
      </c>
    </row>
    <row r="37" spans="1:16" s="163" customFormat="1" ht="12" customHeight="1">
      <c r="A37" s="182" t="s">
        <v>177</v>
      </c>
      <c r="B37" s="165" t="s">
        <v>481</v>
      </c>
      <c r="C37" s="152">
        <v>35000000</v>
      </c>
      <c r="D37" s="152">
        <v>44694154</v>
      </c>
      <c r="E37" s="88">
        <v>44694154</v>
      </c>
      <c r="G37" s="165" t="s">
        <v>482</v>
      </c>
      <c r="H37" s="152"/>
      <c r="I37" s="152"/>
      <c r="J37" s="153"/>
      <c r="K37" s="153"/>
      <c r="L37" s="153"/>
      <c r="M37" s="153"/>
      <c r="N37" s="153"/>
      <c r="O37" s="584">
        <f t="shared" si="10"/>
        <v>0</v>
      </c>
      <c r="P37" s="653">
        <f t="shared" si="11"/>
        <v>0</v>
      </c>
    </row>
    <row r="38" spans="1:16" s="163" customFormat="1" ht="12" customHeight="1">
      <c r="A38" s="182" t="s">
        <v>483</v>
      </c>
      <c r="B38" s="165" t="s">
        <v>770</v>
      </c>
      <c r="C38" s="152">
        <v>650000</v>
      </c>
      <c r="D38" s="152">
        <v>943108</v>
      </c>
      <c r="E38" s="88">
        <v>943108</v>
      </c>
      <c r="G38" s="165" t="s">
        <v>178</v>
      </c>
      <c r="H38" s="152">
        <v>4000000</v>
      </c>
      <c r="I38" s="152">
        <v>-4000000</v>
      </c>
      <c r="J38" s="153"/>
      <c r="K38" s="153"/>
      <c r="L38" s="153"/>
      <c r="M38" s="153"/>
      <c r="N38" s="153"/>
      <c r="O38" s="584">
        <f t="shared" si="10"/>
        <v>-4000000</v>
      </c>
      <c r="P38" s="653">
        <f t="shared" si="11"/>
        <v>0</v>
      </c>
    </row>
    <row r="39" spans="1:16" s="163" customFormat="1" ht="12" customHeight="1">
      <c r="A39" s="182" t="s">
        <v>484</v>
      </c>
      <c r="B39" s="165" t="s">
        <v>773</v>
      </c>
      <c r="C39" s="152"/>
      <c r="D39" s="152">
        <v>345180</v>
      </c>
      <c r="E39" s="88">
        <v>348180</v>
      </c>
      <c r="G39" s="165" t="s">
        <v>179</v>
      </c>
      <c r="H39" s="152"/>
      <c r="I39" s="152"/>
      <c r="J39" s="153"/>
      <c r="K39" s="153"/>
      <c r="L39" s="153"/>
      <c r="M39" s="153"/>
      <c r="N39" s="153"/>
      <c r="O39" s="584">
        <f t="shared" si="10"/>
        <v>0</v>
      </c>
      <c r="P39" s="653">
        <f t="shared" si="11"/>
        <v>0</v>
      </c>
    </row>
    <row r="40" spans="1:16" s="163" customFormat="1" ht="12" customHeight="1">
      <c r="A40" s="182" t="s">
        <v>485</v>
      </c>
      <c r="B40" s="165" t="s">
        <v>771</v>
      </c>
      <c r="C40" s="152">
        <v>150000</v>
      </c>
      <c r="D40" s="152">
        <v>150000</v>
      </c>
      <c r="E40" s="88">
        <v>130000</v>
      </c>
      <c r="G40" s="166"/>
      <c r="H40" s="154"/>
      <c r="I40" s="154"/>
      <c r="J40" s="654"/>
      <c r="K40" s="654"/>
      <c r="L40" s="654"/>
      <c r="M40" s="654"/>
      <c r="N40" s="654"/>
      <c r="O40" s="655"/>
      <c r="P40" s="653"/>
    </row>
    <row r="41" spans="1:16" s="163" customFormat="1" ht="12" customHeight="1" thickBot="1">
      <c r="A41" s="183" t="s">
        <v>772</v>
      </c>
      <c r="B41" s="310" t="s">
        <v>774</v>
      </c>
      <c r="C41" s="154"/>
      <c r="D41" s="154">
        <v>1565323</v>
      </c>
      <c r="E41" s="90">
        <v>1562323</v>
      </c>
      <c r="G41" s="166" t="s">
        <v>180</v>
      </c>
      <c r="H41" s="154">
        <v>650000</v>
      </c>
      <c r="I41" s="154"/>
      <c r="J41" s="654"/>
      <c r="K41" s="654"/>
      <c r="L41" s="654"/>
      <c r="M41" s="654"/>
      <c r="N41" s="654"/>
      <c r="O41" s="655">
        <f t="shared" si="10"/>
        <v>0</v>
      </c>
      <c r="P41" s="653">
        <f t="shared" si="11"/>
        <v>650000</v>
      </c>
    </row>
    <row r="42" spans="1:16" s="163" customFormat="1" ht="12" customHeight="1" thickBot="1">
      <c r="A42" s="18" t="s">
        <v>10</v>
      </c>
      <c r="B42" s="19" t="s">
        <v>334</v>
      </c>
      <c r="C42" s="151">
        <f>SUM(C43:C53)</f>
        <v>55715692</v>
      </c>
      <c r="D42" s="234">
        <f>SUM(D43:D53)</f>
        <v>76115201</v>
      </c>
      <c r="E42" s="87">
        <f>SUM(E43:E53)</f>
        <v>71668783</v>
      </c>
      <c r="G42" s="19" t="s">
        <v>334</v>
      </c>
      <c r="H42" s="151">
        <f>SUM(H43:H53)</f>
        <v>47462436</v>
      </c>
      <c r="I42" s="151">
        <f aca="true" t="shared" si="12" ref="I42:P42">SUM(I43:I53)</f>
        <v>0</v>
      </c>
      <c r="J42" s="151">
        <f t="shared" si="12"/>
        <v>4831802</v>
      </c>
      <c r="K42" s="151">
        <f t="shared" si="12"/>
        <v>1</v>
      </c>
      <c r="L42" s="151">
        <f t="shared" si="12"/>
        <v>0</v>
      </c>
      <c r="M42" s="151">
        <f t="shared" si="12"/>
        <v>0</v>
      </c>
      <c r="N42" s="151">
        <f t="shared" si="12"/>
        <v>0</v>
      </c>
      <c r="O42" s="151">
        <f t="shared" si="12"/>
        <v>4831803</v>
      </c>
      <c r="P42" s="87">
        <f t="shared" si="12"/>
        <v>52294239</v>
      </c>
    </row>
    <row r="43" spans="1:16" s="163" customFormat="1" ht="12" customHeight="1">
      <c r="A43" s="13" t="s">
        <v>56</v>
      </c>
      <c r="B43" s="164" t="s">
        <v>183</v>
      </c>
      <c r="C43" s="153"/>
      <c r="D43" s="235"/>
      <c r="E43" s="89"/>
      <c r="G43" s="164" t="s">
        <v>183</v>
      </c>
      <c r="H43" s="153"/>
      <c r="I43" s="153"/>
      <c r="J43" s="153"/>
      <c r="K43" s="153"/>
      <c r="L43" s="153"/>
      <c r="M43" s="153"/>
      <c r="N43" s="153"/>
      <c r="O43" s="584">
        <f aca="true" t="shared" si="13" ref="O43:O53">I43+J43+K43+L43+M43+N43</f>
        <v>0</v>
      </c>
      <c r="P43" s="653">
        <f aca="true" t="shared" si="14" ref="P43:P53">H43+O43</f>
        <v>0</v>
      </c>
    </row>
    <row r="44" spans="1:16" s="163" customFormat="1" ht="12" customHeight="1">
      <c r="A44" s="12" t="s">
        <v>57</v>
      </c>
      <c r="B44" s="165" t="s">
        <v>184</v>
      </c>
      <c r="C44" s="754">
        <v>30536486</v>
      </c>
      <c r="D44" s="236">
        <v>36998185</v>
      </c>
      <c r="E44" s="88">
        <v>35711917</v>
      </c>
      <c r="G44" s="165" t="s">
        <v>184</v>
      </c>
      <c r="H44" s="152">
        <v>19045431</v>
      </c>
      <c r="I44" s="152"/>
      <c r="J44" s="153"/>
      <c r="K44" s="153"/>
      <c r="L44" s="153"/>
      <c r="M44" s="153"/>
      <c r="N44" s="153"/>
      <c r="O44" s="584">
        <f t="shared" si="13"/>
        <v>0</v>
      </c>
      <c r="P44" s="653">
        <f t="shared" si="14"/>
        <v>19045431</v>
      </c>
    </row>
    <row r="45" spans="1:16" s="163" customFormat="1" ht="12" customHeight="1">
      <c r="A45" s="12" t="s">
        <v>58</v>
      </c>
      <c r="B45" s="165" t="s">
        <v>185</v>
      </c>
      <c r="C45" s="754">
        <v>3941940</v>
      </c>
      <c r="D45" s="236">
        <v>4056378</v>
      </c>
      <c r="E45" s="88">
        <v>3541312</v>
      </c>
      <c r="G45" s="165" t="s">
        <v>185</v>
      </c>
      <c r="H45" s="152">
        <v>4002684</v>
      </c>
      <c r="I45" s="152"/>
      <c r="J45" s="153"/>
      <c r="K45" s="153">
        <v>1</v>
      </c>
      <c r="L45" s="153"/>
      <c r="M45" s="153"/>
      <c r="N45" s="153"/>
      <c r="O45" s="584">
        <f t="shared" si="13"/>
        <v>1</v>
      </c>
      <c r="P45" s="653">
        <f t="shared" si="14"/>
        <v>4002685</v>
      </c>
    </row>
    <row r="46" spans="1:16" s="163" customFormat="1" ht="12" customHeight="1">
      <c r="A46" s="12" t="s">
        <v>115</v>
      </c>
      <c r="B46" s="165" t="s">
        <v>186</v>
      </c>
      <c r="C46" s="754"/>
      <c r="D46" s="236">
        <v>1070817</v>
      </c>
      <c r="E46" s="88">
        <v>1070817</v>
      </c>
      <c r="G46" s="165" t="s">
        <v>186</v>
      </c>
      <c r="H46" s="152">
        <v>7037419</v>
      </c>
      <c r="I46" s="152"/>
      <c r="J46" s="153">
        <v>2682681</v>
      </c>
      <c r="K46" s="153"/>
      <c r="L46" s="153"/>
      <c r="M46" s="153"/>
      <c r="N46" s="153"/>
      <c r="O46" s="584">
        <f t="shared" si="13"/>
        <v>2682681</v>
      </c>
      <c r="P46" s="653">
        <f t="shared" si="14"/>
        <v>9720100</v>
      </c>
    </row>
    <row r="47" spans="1:16" s="163" customFormat="1" ht="12" customHeight="1">
      <c r="A47" s="12" t="s">
        <v>116</v>
      </c>
      <c r="B47" s="165" t="s">
        <v>187</v>
      </c>
      <c r="C47" s="754">
        <v>8099425</v>
      </c>
      <c r="D47" s="236">
        <v>8099425</v>
      </c>
      <c r="E47" s="88">
        <v>6060793</v>
      </c>
      <c r="G47" s="165" t="s">
        <v>187</v>
      </c>
      <c r="H47" s="152">
        <v>8099425</v>
      </c>
      <c r="I47" s="152"/>
      <c r="J47" s="153">
        <v>14765</v>
      </c>
      <c r="K47" s="153"/>
      <c r="L47" s="153"/>
      <c r="M47" s="153"/>
      <c r="N47" s="153"/>
      <c r="O47" s="584">
        <f t="shared" si="13"/>
        <v>14765</v>
      </c>
      <c r="P47" s="653">
        <f t="shared" si="14"/>
        <v>8114190</v>
      </c>
    </row>
    <row r="48" spans="1:16" s="163" customFormat="1" ht="12" customHeight="1">
      <c r="A48" s="12" t="s">
        <v>117</v>
      </c>
      <c r="B48" s="165" t="s">
        <v>188</v>
      </c>
      <c r="C48" s="754">
        <v>13087841</v>
      </c>
      <c r="D48" s="236">
        <v>15064872</v>
      </c>
      <c r="E48" s="88">
        <v>14401312</v>
      </c>
      <c r="G48" s="165" t="s">
        <v>188</v>
      </c>
      <c r="H48" s="152">
        <v>7223050</v>
      </c>
      <c r="I48" s="152"/>
      <c r="J48" s="153"/>
      <c r="K48" s="153"/>
      <c r="L48" s="153"/>
      <c r="M48" s="153"/>
      <c r="N48" s="153"/>
      <c r="O48" s="584">
        <f t="shared" si="13"/>
        <v>0</v>
      </c>
      <c r="P48" s="653">
        <f t="shared" si="14"/>
        <v>7223050</v>
      </c>
    </row>
    <row r="49" spans="1:16" s="163" customFormat="1" ht="12" customHeight="1">
      <c r="A49" s="12" t="s">
        <v>118</v>
      </c>
      <c r="B49" s="165" t="s">
        <v>189</v>
      </c>
      <c r="C49" s="754"/>
      <c r="D49" s="236"/>
      <c r="E49" s="88"/>
      <c r="G49" s="165" t="s">
        <v>189</v>
      </c>
      <c r="H49" s="152"/>
      <c r="I49" s="152"/>
      <c r="J49" s="153"/>
      <c r="K49" s="153"/>
      <c r="L49" s="153"/>
      <c r="M49" s="153"/>
      <c r="N49" s="153"/>
      <c r="O49" s="584">
        <f t="shared" si="13"/>
        <v>0</v>
      </c>
      <c r="P49" s="653">
        <f t="shared" si="14"/>
        <v>0</v>
      </c>
    </row>
    <row r="50" spans="1:16" s="163" customFormat="1" ht="12" customHeight="1">
      <c r="A50" s="12" t="s">
        <v>119</v>
      </c>
      <c r="B50" s="165" t="s">
        <v>486</v>
      </c>
      <c r="C50" s="754">
        <v>50000</v>
      </c>
      <c r="D50" s="236">
        <v>10722470</v>
      </c>
      <c r="E50" s="88">
        <v>10672761</v>
      </c>
      <c r="G50" s="165" t="s">
        <v>486</v>
      </c>
      <c r="H50" s="152">
        <v>50000</v>
      </c>
      <c r="I50" s="152"/>
      <c r="J50" s="153"/>
      <c r="K50" s="153"/>
      <c r="L50" s="153"/>
      <c r="M50" s="153"/>
      <c r="N50" s="153"/>
      <c r="O50" s="584">
        <f t="shared" si="13"/>
        <v>0</v>
      </c>
      <c r="P50" s="653">
        <f t="shared" si="14"/>
        <v>50000</v>
      </c>
    </row>
    <row r="51" spans="1:16" s="163" customFormat="1" ht="12" customHeight="1">
      <c r="A51" s="12" t="s">
        <v>181</v>
      </c>
      <c r="B51" s="165" t="s">
        <v>191</v>
      </c>
      <c r="C51" s="155"/>
      <c r="D51" s="295">
        <v>6251</v>
      </c>
      <c r="E51" s="91">
        <v>6251</v>
      </c>
      <c r="G51" s="165" t="s">
        <v>191</v>
      </c>
      <c r="H51" s="155"/>
      <c r="I51" s="155"/>
      <c r="J51" s="204"/>
      <c r="K51" s="204"/>
      <c r="L51" s="204"/>
      <c r="M51" s="204"/>
      <c r="N51" s="204"/>
      <c r="O51" s="588">
        <f t="shared" si="13"/>
        <v>0</v>
      </c>
      <c r="P51" s="653">
        <f t="shared" si="14"/>
        <v>0</v>
      </c>
    </row>
    <row r="52" spans="1:16" s="163" customFormat="1" ht="12" customHeight="1">
      <c r="A52" s="14" t="s">
        <v>182</v>
      </c>
      <c r="B52" s="166" t="s">
        <v>336</v>
      </c>
      <c r="C52" s="156"/>
      <c r="D52" s="296"/>
      <c r="E52" s="92"/>
      <c r="G52" s="166" t="s">
        <v>336</v>
      </c>
      <c r="H52" s="156"/>
      <c r="I52" s="156"/>
      <c r="J52" s="656"/>
      <c r="K52" s="656"/>
      <c r="L52" s="656"/>
      <c r="M52" s="656"/>
      <c r="N52" s="656"/>
      <c r="O52" s="657">
        <f t="shared" si="13"/>
        <v>0</v>
      </c>
      <c r="P52" s="653">
        <f t="shared" si="14"/>
        <v>0</v>
      </c>
    </row>
    <row r="53" spans="1:16" s="163" customFormat="1" ht="12" customHeight="1" thickBot="1">
      <c r="A53" s="14" t="s">
        <v>335</v>
      </c>
      <c r="B53" s="96" t="s">
        <v>192</v>
      </c>
      <c r="C53" s="356"/>
      <c r="D53" s="296">
        <v>96803</v>
      </c>
      <c r="E53" s="92">
        <v>203620</v>
      </c>
      <c r="G53" s="658" t="s">
        <v>192</v>
      </c>
      <c r="H53" s="356">
        <v>2004427</v>
      </c>
      <c r="I53" s="356"/>
      <c r="J53" s="356">
        <v>2134356</v>
      </c>
      <c r="K53" s="356"/>
      <c r="L53" s="356"/>
      <c r="M53" s="356"/>
      <c r="N53" s="356"/>
      <c r="O53" s="589">
        <f t="shared" si="13"/>
        <v>2134356</v>
      </c>
      <c r="P53" s="659">
        <f t="shared" si="14"/>
        <v>4138783</v>
      </c>
    </row>
    <row r="54" spans="1:16" s="163" customFormat="1" ht="12" customHeight="1" thickBot="1">
      <c r="A54" s="18" t="s">
        <v>11</v>
      </c>
      <c r="B54" s="19" t="s">
        <v>193</v>
      </c>
      <c r="C54" s="151">
        <f>SUM(C55:C59)</f>
        <v>18199964</v>
      </c>
      <c r="D54" s="234">
        <f>SUM(D55:D59)</f>
        <v>18200000</v>
      </c>
      <c r="E54" s="87">
        <f>SUM(E55:E59)</f>
        <v>18200000</v>
      </c>
      <c r="G54" s="19" t="s">
        <v>193</v>
      </c>
      <c r="H54" s="151">
        <f>SUM(H55:H59)</f>
        <v>0</v>
      </c>
      <c r="I54" s="151">
        <f aca="true" t="shared" si="15" ref="I54:P54">SUM(I55:I59)</f>
        <v>0</v>
      </c>
      <c r="J54" s="151">
        <f t="shared" si="15"/>
        <v>0</v>
      </c>
      <c r="K54" s="151">
        <f t="shared" si="15"/>
        <v>0</v>
      </c>
      <c r="L54" s="151">
        <f t="shared" si="15"/>
        <v>0</v>
      </c>
      <c r="M54" s="151">
        <f t="shared" si="15"/>
        <v>0</v>
      </c>
      <c r="N54" s="151">
        <f t="shared" si="15"/>
        <v>0</v>
      </c>
      <c r="O54" s="151">
        <f t="shared" si="15"/>
        <v>0</v>
      </c>
      <c r="P54" s="87">
        <f t="shared" si="15"/>
        <v>0</v>
      </c>
    </row>
    <row r="55" spans="1:16" s="163" customFormat="1" ht="12" customHeight="1">
      <c r="A55" s="13" t="s">
        <v>59</v>
      </c>
      <c r="B55" s="164" t="s">
        <v>197</v>
      </c>
      <c r="C55" s="204"/>
      <c r="D55" s="297"/>
      <c r="E55" s="93"/>
      <c r="G55" s="164" t="s">
        <v>197</v>
      </c>
      <c r="H55" s="204"/>
      <c r="I55" s="204"/>
      <c r="J55" s="204"/>
      <c r="K55" s="204"/>
      <c r="L55" s="204"/>
      <c r="M55" s="204"/>
      <c r="N55" s="204"/>
      <c r="O55" s="588">
        <f>I55+J55+K55+L55+M55+N55</f>
        <v>0</v>
      </c>
      <c r="P55" s="660">
        <f>H55+O55</f>
        <v>0</v>
      </c>
    </row>
    <row r="56" spans="1:16" s="163" customFormat="1" ht="12" customHeight="1">
      <c r="A56" s="12" t="s">
        <v>60</v>
      </c>
      <c r="B56" s="165" t="s">
        <v>198</v>
      </c>
      <c r="C56" s="155">
        <v>18199964</v>
      </c>
      <c r="D56" s="295">
        <v>18200000</v>
      </c>
      <c r="E56" s="91">
        <v>18200000</v>
      </c>
      <c r="G56" s="165" t="s">
        <v>198</v>
      </c>
      <c r="H56" s="155"/>
      <c r="I56" s="155"/>
      <c r="J56" s="204"/>
      <c r="K56" s="204"/>
      <c r="L56" s="204"/>
      <c r="M56" s="204"/>
      <c r="N56" s="204"/>
      <c r="O56" s="588">
        <f>I56+J56+K56+L56+M56+N56</f>
        <v>0</v>
      </c>
      <c r="P56" s="660">
        <f>H56+O56</f>
        <v>0</v>
      </c>
    </row>
    <row r="57" spans="1:16" s="163" customFormat="1" ht="12" customHeight="1">
      <c r="A57" s="12" t="s">
        <v>194</v>
      </c>
      <c r="B57" s="165" t="s">
        <v>199</v>
      </c>
      <c r="C57" s="155"/>
      <c r="D57" s="295"/>
      <c r="E57" s="91"/>
      <c r="G57" s="165" t="s">
        <v>199</v>
      </c>
      <c r="H57" s="155"/>
      <c r="I57" s="155"/>
      <c r="J57" s="204"/>
      <c r="K57" s="204"/>
      <c r="L57" s="204"/>
      <c r="M57" s="204"/>
      <c r="N57" s="204"/>
      <c r="O57" s="588">
        <f>I57+J57+K57+L57+M57+N57</f>
        <v>0</v>
      </c>
      <c r="P57" s="660">
        <f>H57+O57</f>
        <v>0</v>
      </c>
    </row>
    <row r="58" spans="1:16" s="163" customFormat="1" ht="12" customHeight="1">
      <c r="A58" s="12" t="s">
        <v>195</v>
      </c>
      <c r="B58" s="165" t="s">
        <v>200</v>
      </c>
      <c r="C58" s="155"/>
      <c r="D58" s="295"/>
      <c r="E58" s="91"/>
      <c r="G58" s="165" t="s">
        <v>200</v>
      </c>
      <c r="H58" s="155"/>
      <c r="I58" s="155"/>
      <c r="J58" s="204"/>
      <c r="K58" s="204"/>
      <c r="L58" s="204"/>
      <c r="M58" s="204"/>
      <c r="N58" s="204"/>
      <c r="O58" s="588">
        <f>I58+J58+K58+L58+M58+N58</f>
        <v>0</v>
      </c>
      <c r="P58" s="660">
        <f>H58+O58</f>
        <v>0</v>
      </c>
    </row>
    <row r="59" spans="1:16" s="163" customFormat="1" ht="12" customHeight="1" thickBot="1">
      <c r="A59" s="14" t="s">
        <v>196</v>
      </c>
      <c r="B59" s="96" t="s">
        <v>201</v>
      </c>
      <c r="C59" s="156"/>
      <c r="D59" s="296"/>
      <c r="E59" s="92"/>
      <c r="G59" s="96" t="s">
        <v>201</v>
      </c>
      <c r="H59" s="156"/>
      <c r="I59" s="156"/>
      <c r="J59" s="656"/>
      <c r="K59" s="656"/>
      <c r="L59" s="656"/>
      <c r="M59" s="656"/>
      <c r="N59" s="656"/>
      <c r="O59" s="657">
        <f>I59+J59+K59+L59+M59+N59</f>
        <v>0</v>
      </c>
      <c r="P59" s="660">
        <f>H59+O59</f>
        <v>0</v>
      </c>
    </row>
    <row r="60" spans="1:16" s="163" customFormat="1" ht="12" customHeight="1" thickBot="1">
      <c r="A60" s="18" t="s">
        <v>120</v>
      </c>
      <c r="B60" s="19" t="s">
        <v>202</v>
      </c>
      <c r="C60" s="151">
        <f>SUM(C61:C63)</f>
        <v>0</v>
      </c>
      <c r="D60" s="234">
        <f>SUM(D61:D63)</f>
        <v>0</v>
      </c>
      <c r="E60" s="87">
        <f>SUM(E61:E63)</f>
        <v>0</v>
      </c>
      <c r="G60" s="19" t="s">
        <v>202</v>
      </c>
      <c r="H60" s="151">
        <f>SUM(H61:H63)</f>
        <v>0</v>
      </c>
      <c r="I60" s="151">
        <f aca="true" t="shared" si="16" ref="I60:P60">SUM(I61:I63)</f>
        <v>0</v>
      </c>
      <c r="J60" s="151">
        <f t="shared" si="16"/>
        <v>0</v>
      </c>
      <c r="K60" s="151">
        <f t="shared" si="16"/>
        <v>0</v>
      </c>
      <c r="L60" s="151">
        <f t="shared" si="16"/>
        <v>0</v>
      </c>
      <c r="M60" s="151">
        <f t="shared" si="16"/>
        <v>0</v>
      </c>
      <c r="N60" s="151">
        <f t="shared" si="16"/>
        <v>0</v>
      </c>
      <c r="O60" s="151">
        <f t="shared" si="16"/>
        <v>0</v>
      </c>
      <c r="P60" s="87">
        <f t="shared" si="16"/>
        <v>0</v>
      </c>
    </row>
    <row r="61" spans="1:16" s="163" customFormat="1" ht="12" customHeight="1">
      <c r="A61" s="13" t="s">
        <v>61</v>
      </c>
      <c r="B61" s="164" t="s">
        <v>203</v>
      </c>
      <c r="C61" s="153"/>
      <c r="D61" s="235"/>
      <c r="E61" s="89"/>
      <c r="G61" s="164" t="s">
        <v>203</v>
      </c>
      <c r="H61" s="153"/>
      <c r="I61" s="153"/>
      <c r="J61" s="153"/>
      <c r="K61" s="153"/>
      <c r="L61" s="153"/>
      <c r="M61" s="153"/>
      <c r="N61" s="153"/>
      <c r="O61" s="584">
        <f>I61+J61+K61+L61+M61+N61</f>
        <v>0</v>
      </c>
      <c r="P61" s="653">
        <f>H61+O61</f>
        <v>0</v>
      </c>
    </row>
    <row r="62" spans="1:16" s="163" customFormat="1" ht="12" customHeight="1">
      <c r="A62" s="12" t="s">
        <v>62</v>
      </c>
      <c r="B62" s="165" t="s">
        <v>328</v>
      </c>
      <c r="C62" s="152"/>
      <c r="D62" s="236"/>
      <c r="E62" s="88"/>
      <c r="G62" s="165" t="s">
        <v>328</v>
      </c>
      <c r="H62" s="152"/>
      <c r="I62" s="152"/>
      <c r="J62" s="153"/>
      <c r="K62" s="153"/>
      <c r="L62" s="153"/>
      <c r="M62" s="153"/>
      <c r="N62" s="153"/>
      <c r="O62" s="584">
        <f>I62+J62+K62+L62+M62+N62</f>
        <v>0</v>
      </c>
      <c r="P62" s="653">
        <f>H62+O62</f>
        <v>0</v>
      </c>
    </row>
    <row r="63" spans="1:16" s="163" customFormat="1" ht="12" customHeight="1">
      <c r="A63" s="12" t="s">
        <v>206</v>
      </c>
      <c r="B63" s="165" t="s">
        <v>204</v>
      </c>
      <c r="C63" s="152"/>
      <c r="D63" s="236"/>
      <c r="E63" s="88"/>
      <c r="G63" s="165" t="s">
        <v>204</v>
      </c>
      <c r="H63" s="152"/>
      <c r="I63" s="152"/>
      <c r="J63" s="153"/>
      <c r="K63" s="153"/>
      <c r="L63" s="153"/>
      <c r="M63" s="153"/>
      <c r="N63" s="153"/>
      <c r="O63" s="584">
        <f>I63+J63+K63+L63+M63+N63</f>
        <v>0</v>
      </c>
      <c r="P63" s="653">
        <f>H63+O63</f>
        <v>0</v>
      </c>
    </row>
    <row r="64" spans="1:16" s="163" customFormat="1" ht="12" customHeight="1" thickBot="1">
      <c r="A64" s="14" t="s">
        <v>207</v>
      </c>
      <c r="B64" s="96" t="s">
        <v>205</v>
      </c>
      <c r="C64" s="154"/>
      <c r="D64" s="237"/>
      <c r="E64" s="90"/>
      <c r="G64" s="96" t="s">
        <v>205</v>
      </c>
      <c r="H64" s="154"/>
      <c r="I64" s="154"/>
      <c r="J64" s="654"/>
      <c r="K64" s="654"/>
      <c r="L64" s="654"/>
      <c r="M64" s="654"/>
      <c r="N64" s="654"/>
      <c r="O64" s="655">
        <f>I64+J64+K64+L64+M64+N64</f>
        <v>0</v>
      </c>
      <c r="P64" s="653">
        <f>H64+O64</f>
        <v>0</v>
      </c>
    </row>
    <row r="65" spans="1:16" s="163" customFormat="1" ht="12" customHeight="1" thickBot="1">
      <c r="A65" s="18" t="s">
        <v>13</v>
      </c>
      <c r="B65" s="94" t="s">
        <v>208</v>
      </c>
      <c r="C65" s="151">
        <f>SUM(C66:C68)</f>
        <v>792559</v>
      </c>
      <c r="D65" s="234">
        <f>SUM(D66:D68)</f>
        <v>16469014</v>
      </c>
      <c r="E65" s="87">
        <f>SUM(E66:E68)</f>
        <v>16278514</v>
      </c>
      <c r="G65" s="94" t="s">
        <v>208</v>
      </c>
      <c r="H65" s="151">
        <f>SUM(H66:H68)</f>
        <v>31062240</v>
      </c>
      <c r="I65" s="151">
        <f aca="true" t="shared" si="17" ref="I65:P65">SUM(I66:I68)</f>
        <v>0</v>
      </c>
      <c r="J65" s="151">
        <f t="shared" si="17"/>
        <v>-28792322</v>
      </c>
      <c r="K65" s="151">
        <f t="shared" si="17"/>
        <v>0</v>
      </c>
      <c r="L65" s="151">
        <f t="shared" si="17"/>
        <v>0</v>
      </c>
      <c r="M65" s="151">
        <f t="shared" si="17"/>
        <v>0</v>
      </c>
      <c r="N65" s="151">
        <f t="shared" si="17"/>
        <v>0</v>
      </c>
      <c r="O65" s="151">
        <f t="shared" si="17"/>
        <v>-28792322</v>
      </c>
      <c r="P65" s="87">
        <f t="shared" si="17"/>
        <v>2269918</v>
      </c>
    </row>
    <row r="66" spans="1:16" s="163" customFormat="1" ht="12" customHeight="1">
      <c r="A66" s="13" t="s">
        <v>121</v>
      </c>
      <c r="B66" s="164" t="s">
        <v>210</v>
      </c>
      <c r="C66" s="155"/>
      <c r="D66" s="295"/>
      <c r="E66" s="91"/>
      <c r="G66" s="164" t="s">
        <v>210</v>
      </c>
      <c r="H66" s="155"/>
      <c r="I66" s="155"/>
      <c r="J66" s="155"/>
      <c r="K66" s="155"/>
      <c r="L66" s="155"/>
      <c r="M66" s="155"/>
      <c r="N66" s="155"/>
      <c r="O66" s="587">
        <f>I66+J66+K66+L66+M66+N66</f>
        <v>0</v>
      </c>
      <c r="P66" s="661">
        <f>H66+O66</f>
        <v>0</v>
      </c>
    </row>
    <row r="67" spans="1:16" s="163" customFormat="1" ht="12" customHeight="1">
      <c r="A67" s="12" t="s">
        <v>122</v>
      </c>
      <c r="B67" s="165" t="s">
        <v>329</v>
      </c>
      <c r="C67" s="155">
        <v>792559</v>
      </c>
      <c r="D67" s="295">
        <v>15969014</v>
      </c>
      <c r="E67" s="91">
        <v>15778514</v>
      </c>
      <c r="G67" s="165" t="s">
        <v>329</v>
      </c>
      <c r="H67" s="155">
        <v>1062240</v>
      </c>
      <c r="I67" s="155"/>
      <c r="J67" s="155">
        <v>407678</v>
      </c>
      <c r="K67" s="155"/>
      <c r="L67" s="155"/>
      <c r="M67" s="155"/>
      <c r="N67" s="155"/>
      <c r="O67" s="587">
        <f>I67+J67+K67+L67+M67+N67</f>
        <v>407678</v>
      </c>
      <c r="P67" s="661">
        <f>H67+O67</f>
        <v>1469918</v>
      </c>
    </row>
    <row r="68" spans="1:16" s="163" customFormat="1" ht="12" customHeight="1">
      <c r="A68" s="12" t="s">
        <v>141</v>
      </c>
      <c r="B68" s="165" t="s">
        <v>211</v>
      </c>
      <c r="C68" s="155"/>
      <c r="D68" s="295">
        <v>500000</v>
      </c>
      <c r="E68" s="91">
        <v>500000</v>
      </c>
      <c r="G68" s="165" t="s">
        <v>211</v>
      </c>
      <c r="H68" s="155">
        <v>30000000</v>
      </c>
      <c r="I68" s="155"/>
      <c r="J68" s="155">
        <v>-29200000</v>
      </c>
      <c r="K68" s="155"/>
      <c r="L68" s="155"/>
      <c r="M68" s="155"/>
      <c r="N68" s="155"/>
      <c r="O68" s="587">
        <f>I68+J68+K68+L68+M68+N68</f>
        <v>-29200000</v>
      </c>
      <c r="P68" s="661">
        <f>H68+O68</f>
        <v>800000</v>
      </c>
    </row>
    <row r="69" spans="1:16" s="163" customFormat="1" ht="12" customHeight="1" thickBot="1">
      <c r="A69" s="14" t="s">
        <v>209</v>
      </c>
      <c r="B69" s="96" t="s">
        <v>212</v>
      </c>
      <c r="C69" s="155"/>
      <c r="D69" s="295"/>
      <c r="E69" s="91"/>
      <c r="G69" s="96" t="s">
        <v>212</v>
      </c>
      <c r="H69" s="155"/>
      <c r="I69" s="155"/>
      <c r="J69" s="155"/>
      <c r="K69" s="155"/>
      <c r="L69" s="155"/>
      <c r="M69" s="155"/>
      <c r="N69" s="155"/>
      <c r="O69" s="587">
        <f>I69+J69+K69+L69+M69+N69</f>
        <v>0</v>
      </c>
      <c r="P69" s="661">
        <f>H69+O69</f>
        <v>0</v>
      </c>
    </row>
    <row r="70" spans="1:16" s="163" customFormat="1" ht="12" customHeight="1" thickBot="1">
      <c r="A70" s="214" t="s">
        <v>376</v>
      </c>
      <c r="B70" s="19" t="s">
        <v>213</v>
      </c>
      <c r="C70" s="157">
        <f>+C11+C19+C26+C33+C42+C54+C60+C65</f>
        <v>380409502</v>
      </c>
      <c r="D70" s="238">
        <f>+D11+D19+D26+D33+D42+D54+D60+D65</f>
        <v>532641136</v>
      </c>
      <c r="E70" s="193">
        <f>+E11+E19+E26+E33+E42+E54+E60+E65</f>
        <v>527026825</v>
      </c>
      <c r="G70" s="19" t="s">
        <v>213</v>
      </c>
      <c r="H70" s="157">
        <f>+H11+H19+H26+H33+H42+H54+H60+H65</f>
        <v>397466636</v>
      </c>
      <c r="I70" s="157">
        <f aca="true" t="shared" si="18" ref="I70:P70">+I11+I19+I26+I33+I42+I54+I60+I65</f>
        <v>-3579498</v>
      </c>
      <c r="J70" s="157">
        <f t="shared" si="18"/>
        <v>28049619</v>
      </c>
      <c r="K70" s="157">
        <f t="shared" si="18"/>
        <v>85660546</v>
      </c>
      <c r="L70" s="157">
        <f t="shared" si="18"/>
        <v>0</v>
      </c>
      <c r="M70" s="157">
        <f t="shared" si="18"/>
        <v>0</v>
      </c>
      <c r="N70" s="157">
        <f t="shared" si="18"/>
        <v>0</v>
      </c>
      <c r="O70" s="157">
        <f t="shared" si="18"/>
        <v>110130667</v>
      </c>
      <c r="P70" s="193">
        <f t="shared" si="18"/>
        <v>507597303</v>
      </c>
    </row>
    <row r="71" spans="1:16" s="163" customFormat="1" ht="12" customHeight="1" thickBot="1">
      <c r="A71" s="205" t="s">
        <v>214</v>
      </c>
      <c r="B71" s="94" t="s">
        <v>215</v>
      </c>
      <c r="C71" s="151">
        <f>SUM(C72:C74)</f>
        <v>0</v>
      </c>
      <c r="D71" s="234">
        <f>SUM(D72:D74)</f>
        <v>0</v>
      </c>
      <c r="E71" s="87">
        <f>SUM(E72:E74)</f>
        <v>0</v>
      </c>
      <c r="G71" s="94" t="s">
        <v>215</v>
      </c>
      <c r="H71" s="151">
        <f>SUM(H72:H74)</f>
        <v>0</v>
      </c>
      <c r="I71" s="151">
        <f aca="true" t="shared" si="19" ref="I71:P71">SUM(I72:I74)</f>
        <v>0</v>
      </c>
      <c r="J71" s="151">
        <f t="shared" si="19"/>
        <v>0</v>
      </c>
      <c r="K71" s="151">
        <f t="shared" si="19"/>
        <v>0</v>
      </c>
      <c r="L71" s="151">
        <f t="shared" si="19"/>
        <v>0</v>
      </c>
      <c r="M71" s="151">
        <f t="shared" si="19"/>
        <v>0</v>
      </c>
      <c r="N71" s="151">
        <f t="shared" si="19"/>
        <v>0</v>
      </c>
      <c r="O71" s="151">
        <f t="shared" si="19"/>
        <v>0</v>
      </c>
      <c r="P71" s="87">
        <f t="shared" si="19"/>
        <v>0</v>
      </c>
    </row>
    <row r="72" spans="1:16" s="163" customFormat="1" ht="12" customHeight="1">
      <c r="A72" s="13" t="s">
        <v>243</v>
      </c>
      <c r="B72" s="164" t="s">
        <v>216</v>
      </c>
      <c r="C72" s="155"/>
      <c r="D72" s="295"/>
      <c r="E72" s="91"/>
      <c r="G72" s="164" t="s">
        <v>216</v>
      </c>
      <c r="H72" s="155"/>
      <c r="I72" s="155"/>
      <c r="J72" s="155"/>
      <c r="K72" s="155"/>
      <c r="L72" s="155"/>
      <c r="M72" s="155"/>
      <c r="N72" s="155"/>
      <c r="O72" s="587">
        <f>I72+J72+K72+L72+M72+N72</f>
        <v>0</v>
      </c>
      <c r="P72" s="661">
        <f>H72+O72</f>
        <v>0</v>
      </c>
    </row>
    <row r="73" spans="1:16" s="163" customFormat="1" ht="12" customHeight="1">
      <c r="A73" s="12" t="s">
        <v>252</v>
      </c>
      <c r="B73" s="165" t="s">
        <v>217</v>
      </c>
      <c r="C73" s="155"/>
      <c r="D73" s="295"/>
      <c r="E73" s="91"/>
      <c r="G73" s="165" t="s">
        <v>217</v>
      </c>
      <c r="H73" s="155"/>
      <c r="I73" s="155"/>
      <c r="J73" s="155"/>
      <c r="K73" s="155"/>
      <c r="L73" s="155"/>
      <c r="M73" s="155"/>
      <c r="N73" s="155"/>
      <c r="O73" s="587">
        <f>I73+J73+K73+L73+M73+N73</f>
        <v>0</v>
      </c>
      <c r="P73" s="661">
        <f>H73+O73</f>
        <v>0</v>
      </c>
    </row>
    <row r="74" spans="1:16" s="163" customFormat="1" ht="12" customHeight="1" thickBot="1">
      <c r="A74" s="14" t="s">
        <v>253</v>
      </c>
      <c r="B74" s="210" t="s">
        <v>361</v>
      </c>
      <c r="C74" s="356"/>
      <c r="D74" s="295"/>
      <c r="E74" s="91"/>
      <c r="G74" s="662" t="s">
        <v>361</v>
      </c>
      <c r="H74" s="356"/>
      <c r="I74" s="356"/>
      <c r="J74" s="356"/>
      <c r="K74" s="356"/>
      <c r="L74" s="356"/>
      <c r="M74" s="356"/>
      <c r="N74" s="356"/>
      <c r="O74" s="589">
        <f>I74+J74+K74+L74+M74+N74</f>
        <v>0</v>
      </c>
      <c r="P74" s="663">
        <f>H74+O74</f>
        <v>0</v>
      </c>
    </row>
    <row r="75" spans="1:16" s="163" customFormat="1" ht="12" customHeight="1" thickBot="1">
      <c r="A75" s="205" t="s">
        <v>219</v>
      </c>
      <c r="B75" s="94" t="s">
        <v>220</v>
      </c>
      <c r="C75" s="151">
        <f>SUM(C76:C79)</f>
        <v>0</v>
      </c>
      <c r="D75" s="234">
        <f>SUM(D76:D79)</f>
        <v>0</v>
      </c>
      <c r="E75" s="87">
        <f>SUM(E76:E79)</f>
        <v>0</v>
      </c>
      <c r="G75" s="94" t="s">
        <v>220</v>
      </c>
      <c r="H75" s="151">
        <f>SUM(H76:H79)</f>
        <v>0</v>
      </c>
      <c r="I75" s="151">
        <f aca="true" t="shared" si="20" ref="I75:P75">SUM(I76:I79)</f>
        <v>0</v>
      </c>
      <c r="J75" s="151">
        <f t="shared" si="20"/>
        <v>0</v>
      </c>
      <c r="K75" s="151">
        <f t="shared" si="20"/>
        <v>0</v>
      </c>
      <c r="L75" s="151">
        <f t="shared" si="20"/>
        <v>0</v>
      </c>
      <c r="M75" s="151">
        <f t="shared" si="20"/>
        <v>0</v>
      </c>
      <c r="N75" s="151">
        <f t="shared" si="20"/>
        <v>0</v>
      </c>
      <c r="O75" s="151">
        <f t="shared" si="20"/>
        <v>0</v>
      </c>
      <c r="P75" s="87">
        <f t="shared" si="20"/>
        <v>0</v>
      </c>
    </row>
    <row r="76" spans="1:16" s="163" customFormat="1" ht="12" customHeight="1">
      <c r="A76" s="13" t="s">
        <v>99</v>
      </c>
      <c r="B76" s="338" t="s">
        <v>221</v>
      </c>
      <c r="C76" s="155"/>
      <c r="D76" s="295"/>
      <c r="E76" s="91"/>
      <c r="G76" s="338" t="s">
        <v>221</v>
      </c>
      <c r="H76" s="155"/>
      <c r="I76" s="155"/>
      <c r="J76" s="155"/>
      <c r="K76" s="155"/>
      <c r="L76" s="155"/>
      <c r="M76" s="155"/>
      <c r="N76" s="155"/>
      <c r="O76" s="587">
        <f>I76+J76+K76+L76+M76+N76</f>
        <v>0</v>
      </c>
      <c r="P76" s="661">
        <f>H76+O76</f>
        <v>0</v>
      </c>
    </row>
    <row r="77" spans="1:16" s="163" customFormat="1" ht="12" customHeight="1">
      <c r="A77" s="12" t="s">
        <v>100</v>
      </c>
      <c r="B77" s="338" t="s">
        <v>493</v>
      </c>
      <c r="C77" s="155"/>
      <c r="D77" s="295"/>
      <c r="E77" s="91"/>
      <c r="G77" s="338" t="s">
        <v>493</v>
      </c>
      <c r="H77" s="155"/>
      <c r="I77" s="155"/>
      <c r="J77" s="155"/>
      <c r="K77" s="155"/>
      <c r="L77" s="155"/>
      <c r="M77" s="155"/>
      <c r="N77" s="155"/>
      <c r="O77" s="587">
        <f>I77+J77+K77+L77+M77+N77</f>
        <v>0</v>
      </c>
      <c r="P77" s="661">
        <f>H77+O77</f>
        <v>0</v>
      </c>
    </row>
    <row r="78" spans="1:16" s="163" customFormat="1" ht="12" customHeight="1">
      <c r="A78" s="12" t="s">
        <v>244</v>
      </c>
      <c r="B78" s="338" t="s">
        <v>222</v>
      </c>
      <c r="C78" s="155"/>
      <c r="D78" s="295"/>
      <c r="E78" s="91"/>
      <c r="G78" s="338" t="s">
        <v>222</v>
      </c>
      <c r="H78" s="155"/>
      <c r="I78" s="155"/>
      <c r="J78" s="155"/>
      <c r="K78" s="155"/>
      <c r="L78" s="155"/>
      <c r="M78" s="155"/>
      <c r="N78" s="155"/>
      <c r="O78" s="587">
        <f>I78+J78+K78+L78+M78+N78</f>
        <v>0</v>
      </c>
      <c r="P78" s="661">
        <f>H78+O78</f>
        <v>0</v>
      </c>
    </row>
    <row r="79" spans="1:16" s="163" customFormat="1" ht="12" customHeight="1" thickBot="1">
      <c r="A79" s="14" t="s">
        <v>245</v>
      </c>
      <c r="B79" s="339" t="s">
        <v>494</v>
      </c>
      <c r="C79" s="155"/>
      <c r="D79" s="295"/>
      <c r="E79" s="91"/>
      <c r="G79" s="339" t="s">
        <v>494</v>
      </c>
      <c r="H79" s="155"/>
      <c r="I79" s="155"/>
      <c r="J79" s="155"/>
      <c r="K79" s="155"/>
      <c r="L79" s="155"/>
      <c r="M79" s="155"/>
      <c r="N79" s="155"/>
      <c r="O79" s="587">
        <f>I79+J79+K79+L79+M79+N79</f>
        <v>0</v>
      </c>
      <c r="P79" s="661">
        <f>H79+O79</f>
        <v>0</v>
      </c>
    </row>
    <row r="80" spans="1:16" s="163" customFormat="1" ht="12" customHeight="1" thickBot="1">
      <c r="A80" s="205" t="s">
        <v>223</v>
      </c>
      <c r="B80" s="94" t="s">
        <v>224</v>
      </c>
      <c r="C80" s="151">
        <f>SUM(C81:C82)</f>
        <v>235411766</v>
      </c>
      <c r="D80" s="234">
        <f>SUM(D81:D82)</f>
        <v>316649437</v>
      </c>
      <c r="E80" s="87">
        <f>SUM(E81:E82)</f>
        <v>316649437</v>
      </c>
      <c r="G80" s="94" t="s">
        <v>224</v>
      </c>
      <c r="H80" s="151">
        <f>SUM(H81:H82)</f>
        <v>178105218</v>
      </c>
      <c r="I80" s="151">
        <f aca="true" t="shared" si="21" ref="I80:P80">SUM(I81:I82)</f>
        <v>1316819</v>
      </c>
      <c r="J80" s="151">
        <f t="shared" si="21"/>
        <v>-14764</v>
      </c>
      <c r="K80" s="151">
        <f t="shared" si="21"/>
        <v>40968734</v>
      </c>
      <c r="L80" s="151">
        <f t="shared" si="21"/>
        <v>0</v>
      </c>
      <c r="M80" s="151">
        <f t="shared" si="21"/>
        <v>0</v>
      </c>
      <c r="N80" s="151">
        <f t="shared" si="21"/>
        <v>0</v>
      </c>
      <c r="O80" s="151">
        <f t="shared" si="21"/>
        <v>42270789</v>
      </c>
      <c r="P80" s="87">
        <f t="shared" si="21"/>
        <v>220376007</v>
      </c>
    </row>
    <row r="81" spans="1:16" s="163" customFormat="1" ht="12" customHeight="1">
      <c r="A81" s="13" t="s">
        <v>246</v>
      </c>
      <c r="B81" s="164" t="s">
        <v>225</v>
      </c>
      <c r="C81" s="155">
        <v>235411766</v>
      </c>
      <c r="D81" s="295">
        <v>316649437</v>
      </c>
      <c r="E81" s="91">
        <v>316649437</v>
      </c>
      <c r="G81" s="164" t="s">
        <v>225</v>
      </c>
      <c r="H81" s="155">
        <v>178105218</v>
      </c>
      <c r="I81" s="155">
        <v>1316819</v>
      </c>
      <c r="J81" s="155">
        <v>-14764</v>
      </c>
      <c r="K81" s="155">
        <v>40968734</v>
      </c>
      <c r="L81" s="155"/>
      <c r="M81" s="155"/>
      <c r="N81" s="155"/>
      <c r="O81" s="587">
        <f>I81+J81+K81+L81+M81+N81</f>
        <v>42270789</v>
      </c>
      <c r="P81" s="661">
        <f>H81+O81</f>
        <v>220376007</v>
      </c>
    </row>
    <row r="82" spans="1:16" s="163" customFormat="1" ht="12" customHeight="1" thickBot="1">
      <c r="A82" s="14" t="s">
        <v>247</v>
      </c>
      <c r="B82" s="96" t="s">
        <v>226</v>
      </c>
      <c r="C82" s="155"/>
      <c r="D82" s="295"/>
      <c r="E82" s="91"/>
      <c r="G82" s="96" t="s">
        <v>226</v>
      </c>
      <c r="H82" s="155"/>
      <c r="I82" s="155"/>
      <c r="J82" s="155"/>
      <c r="K82" s="155"/>
      <c r="L82" s="155"/>
      <c r="M82" s="155"/>
      <c r="N82" s="155"/>
      <c r="O82" s="587">
        <f>I82+J82+K82+L82+M82+N82</f>
        <v>0</v>
      </c>
      <c r="P82" s="661">
        <f>H82+O82</f>
        <v>0</v>
      </c>
    </row>
    <row r="83" spans="1:16" s="163" customFormat="1" ht="12" customHeight="1" thickBot="1">
      <c r="A83" s="205" t="s">
        <v>227</v>
      </c>
      <c r="B83" s="94" t="s">
        <v>228</v>
      </c>
      <c r="C83" s="151">
        <f>SUM(C84:C86)</f>
        <v>0</v>
      </c>
      <c r="D83" s="234">
        <f>SUM(D84:D86)</f>
        <v>4440354</v>
      </c>
      <c r="E83" s="87">
        <f>SUM(E84:E86)</f>
        <v>4440354</v>
      </c>
      <c r="G83" s="94" t="s">
        <v>228</v>
      </c>
      <c r="H83" s="151">
        <f>SUM(H84:H86)</f>
        <v>0</v>
      </c>
      <c r="I83" s="151">
        <f aca="true" t="shared" si="22" ref="I83:P83">SUM(I84:I86)</f>
        <v>0</v>
      </c>
      <c r="J83" s="151">
        <f t="shared" si="22"/>
        <v>0</v>
      </c>
      <c r="K83" s="151">
        <f t="shared" si="22"/>
        <v>5783769</v>
      </c>
      <c r="L83" s="151">
        <f t="shared" si="22"/>
        <v>0</v>
      </c>
      <c r="M83" s="151">
        <f t="shared" si="22"/>
        <v>0</v>
      </c>
      <c r="N83" s="151">
        <f t="shared" si="22"/>
        <v>0</v>
      </c>
      <c r="O83" s="151">
        <f t="shared" si="22"/>
        <v>5783769</v>
      </c>
      <c r="P83" s="87">
        <f t="shared" si="22"/>
        <v>5783769</v>
      </c>
    </row>
    <row r="84" spans="1:16" s="163" customFormat="1" ht="12" customHeight="1">
      <c r="A84" s="13" t="s">
        <v>248</v>
      </c>
      <c r="B84" s="164" t="s">
        <v>229</v>
      </c>
      <c r="C84" s="155"/>
      <c r="D84" s="295">
        <v>4440354</v>
      </c>
      <c r="E84" s="91">
        <v>4440354</v>
      </c>
      <c r="G84" s="164" t="s">
        <v>229</v>
      </c>
      <c r="H84" s="155"/>
      <c r="I84" s="155"/>
      <c r="J84" s="155"/>
      <c r="K84" s="155">
        <v>5783769</v>
      </c>
      <c r="L84" s="155"/>
      <c r="M84" s="155"/>
      <c r="N84" s="155"/>
      <c r="O84" s="587">
        <f>I84+J84+K84+L84+M84+N84</f>
        <v>5783769</v>
      </c>
      <c r="P84" s="661">
        <f>H84+O84</f>
        <v>5783769</v>
      </c>
    </row>
    <row r="85" spans="1:16" s="163" customFormat="1" ht="12" customHeight="1">
      <c r="A85" s="12" t="s">
        <v>249</v>
      </c>
      <c r="B85" s="165" t="s">
        <v>230</v>
      </c>
      <c r="C85" s="155"/>
      <c r="D85" s="295"/>
      <c r="E85" s="91"/>
      <c r="G85" s="165" t="s">
        <v>230</v>
      </c>
      <c r="H85" s="155"/>
      <c r="I85" s="155"/>
      <c r="J85" s="155"/>
      <c r="K85" s="155"/>
      <c r="L85" s="155"/>
      <c r="M85" s="155"/>
      <c r="N85" s="155"/>
      <c r="O85" s="587">
        <f>I85+J85+K85+L85+M85+N85</f>
        <v>0</v>
      </c>
      <c r="P85" s="661">
        <f>H85+O85</f>
        <v>0</v>
      </c>
    </row>
    <row r="86" spans="1:16" s="163" customFormat="1" ht="12" customHeight="1" thickBot="1">
      <c r="A86" s="14" t="s">
        <v>250</v>
      </c>
      <c r="B86" s="96" t="s">
        <v>495</v>
      </c>
      <c r="C86" s="155"/>
      <c r="D86" s="295"/>
      <c r="E86" s="91"/>
      <c r="G86" s="96" t="s">
        <v>507</v>
      </c>
      <c r="H86" s="155"/>
      <c r="I86" s="155"/>
      <c r="J86" s="155"/>
      <c r="K86" s="155"/>
      <c r="L86" s="155"/>
      <c r="M86" s="155"/>
      <c r="N86" s="155"/>
      <c r="O86" s="587">
        <f>I86+J86+K86+L86+M86+N86</f>
        <v>0</v>
      </c>
      <c r="P86" s="661">
        <f>H86+O86</f>
        <v>0</v>
      </c>
    </row>
    <row r="87" spans="1:16" s="163" customFormat="1" ht="12" customHeight="1" thickBot="1">
      <c r="A87" s="205" t="s">
        <v>231</v>
      </c>
      <c r="B87" s="94" t="s">
        <v>251</v>
      </c>
      <c r="C87" s="151">
        <f>SUM(C88:C91)</f>
        <v>0</v>
      </c>
      <c r="D87" s="234">
        <f>SUM(D88:D91)</f>
        <v>0</v>
      </c>
      <c r="E87" s="87">
        <f>SUM(E88:E91)</f>
        <v>0</v>
      </c>
      <c r="G87" s="94" t="s">
        <v>251</v>
      </c>
      <c r="H87" s="151">
        <f>SUM(H88:H91)</f>
        <v>0</v>
      </c>
      <c r="I87" s="151">
        <f aca="true" t="shared" si="23" ref="I87:P87">SUM(I88:I91)</f>
        <v>0</v>
      </c>
      <c r="J87" s="151">
        <f t="shared" si="23"/>
        <v>0</v>
      </c>
      <c r="K87" s="151">
        <f t="shared" si="23"/>
        <v>0</v>
      </c>
      <c r="L87" s="151">
        <f t="shared" si="23"/>
        <v>0</v>
      </c>
      <c r="M87" s="151">
        <f t="shared" si="23"/>
        <v>0</v>
      </c>
      <c r="N87" s="151">
        <f t="shared" si="23"/>
        <v>0</v>
      </c>
      <c r="O87" s="151">
        <f t="shared" si="23"/>
        <v>0</v>
      </c>
      <c r="P87" s="87">
        <f t="shared" si="23"/>
        <v>0</v>
      </c>
    </row>
    <row r="88" spans="1:16" s="163" customFormat="1" ht="12" customHeight="1">
      <c r="A88" s="168" t="s">
        <v>232</v>
      </c>
      <c r="B88" s="164" t="s">
        <v>233</v>
      </c>
      <c r="C88" s="155"/>
      <c r="D88" s="295"/>
      <c r="E88" s="91"/>
      <c r="G88" s="164" t="s">
        <v>233</v>
      </c>
      <c r="H88" s="155"/>
      <c r="I88" s="155"/>
      <c r="J88" s="155"/>
      <c r="K88" s="155"/>
      <c r="L88" s="155"/>
      <c r="M88" s="155"/>
      <c r="N88" s="155"/>
      <c r="O88" s="587">
        <f aca="true" t="shared" si="24" ref="O88:O93">I88+J88+K88+L88+M88+N88</f>
        <v>0</v>
      </c>
      <c r="P88" s="661">
        <f aca="true" t="shared" si="25" ref="P88:P93">H88+O88</f>
        <v>0</v>
      </c>
    </row>
    <row r="89" spans="1:16" s="163" customFormat="1" ht="12" customHeight="1">
      <c r="A89" s="169" t="s">
        <v>234</v>
      </c>
      <c r="B89" s="165" t="s">
        <v>235</v>
      </c>
      <c r="C89" s="155"/>
      <c r="D89" s="295"/>
      <c r="E89" s="91"/>
      <c r="G89" s="165" t="s">
        <v>235</v>
      </c>
      <c r="H89" s="155"/>
      <c r="I89" s="155"/>
      <c r="J89" s="155"/>
      <c r="K89" s="155"/>
      <c r="L89" s="155"/>
      <c r="M89" s="155"/>
      <c r="N89" s="155"/>
      <c r="O89" s="587">
        <f t="shared" si="24"/>
        <v>0</v>
      </c>
      <c r="P89" s="661">
        <f t="shared" si="25"/>
        <v>0</v>
      </c>
    </row>
    <row r="90" spans="1:16" s="163" customFormat="1" ht="12" customHeight="1">
      <c r="A90" s="169" t="s">
        <v>236</v>
      </c>
      <c r="B90" s="165" t="s">
        <v>237</v>
      </c>
      <c r="C90" s="155"/>
      <c r="D90" s="295"/>
      <c r="E90" s="91"/>
      <c r="G90" s="165" t="s">
        <v>237</v>
      </c>
      <c r="H90" s="155"/>
      <c r="I90" s="155"/>
      <c r="J90" s="155"/>
      <c r="K90" s="155"/>
      <c r="L90" s="155"/>
      <c r="M90" s="155"/>
      <c r="N90" s="155"/>
      <c r="O90" s="587">
        <f t="shared" si="24"/>
        <v>0</v>
      </c>
      <c r="P90" s="661">
        <f t="shared" si="25"/>
        <v>0</v>
      </c>
    </row>
    <row r="91" spans="1:16" s="163" customFormat="1" ht="12" customHeight="1" thickBot="1">
      <c r="A91" s="170" t="s">
        <v>238</v>
      </c>
      <c r="B91" s="96" t="s">
        <v>239</v>
      </c>
      <c r="C91" s="155"/>
      <c r="D91" s="295"/>
      <c r="E91" s="91"/>
      <c r="G91" s="96" t="s">
        <v>239</v>
      </c>
      <c r="H91" s="155"/>
      <c r="I91" s="155"/>
      <c r="J91" s="155"/>
      <c r="K91" s="155"/>
      <c r="L91" s="155"/>
      <c r="M91" s="155"/>
      <c r="N91" s="155"/>
      <c r="O91" s="587">
        <f t="shared" si="24"/>
        <v>0</v>
      </c>
      <c r="P91" s="661">
        <f t="shared" si="25"/>
        <v>0</v>
      </c>
    </row>
    <row r="92" spans="1:16" s="163" customFormat="1" ht="12" customHeight="1" thickBot="1">
      <c r="A92" s="205" t="s">
        <v>240</v>
      </c>
      <c r="B92" s="94" t="s">
        <v>375</v>
      </c>
      <c r="C92" s="207"/>
      <c r="D92" s="752"/>
      <c r="E92" s="208"/>
      <c r="G92" s="94" t="s">
        <v>375</v>
      </c>
      <c r="H92" s="207"/>
      <c r="I92" s="207"/>
      <c r="J92" s="207"/>
      <c r="K92" s="207"/>
      <c r="L92" s="207"/>
      <c r="M92" s="207"/>
      <c r="N92" s="207"/>
      <c r="O92" s="151">
        <f t="shared" si="24"/>
        <v>0</v>
      </c>
      <c r="P92" s="87">
        <f t="shared" si="25"/>
        <v>0</v>
      </c>
    </row>
    <row r="93" spans="1:16" s="163" customFormat="1" ht="13.5" customHeight="1" thickBot="1">
      <c r="A93" s="205" t="s">
        <v>242</v>
      </c>
      <c r="B93" s="94" t="s">
        <v>241</v>
      </c>
      <c r="C93" s="207"/>
      <c r="D93" s="752"/>
      <c r="E93" s="208"/>
      <c r="G93" s="94" t="s">
        <v>241</v>
      </c>
      <c r="H93" s="207"/>
      <c r="I93" s="207"/>
      <c r="J93" s="207"/>
      <c r="K93" s="207"/>
      <c r="L93" s="207"/>
      <c r="M93" s="207"/>
      <c r="N93" s="207"/>
      <c r="O93" s="151">
        <f t="shared" si="24"/>
        <v>0</v>
      </c>
      <c r="P93" s="87">
        <f t="shared" si="25"/>
        <v>0</v>
      </c>
    </row>
    <row r="94" spans="1:16" s="163" customFormat="1" ht="15.75" customHeight="1" thickBot="1">
      <c r="A94" s="205" t="s">
        <v>254</v>
      </c>
      <c r="B94" s="171" t="s">
        <v>378</v>
      </c>
      <c r="C94" s="157">
        <f>+C71+C75+C80+C83+C87+C93+C92</f>
        <v>235411766</v>
      </c>
      <c r="D94" s="238">
        <f>+D71+D75+D80+D83+D87+D93+D92</f>
        <v>321089791</v>
      </c>
      <c r="E94" s="193">
        <f>+E71+E75+E80+E83+E87+E93+E92</f>
        <v>321089791</v>
      </c>
      <c r="G94" s="94" t="s">
        <v>378</v>
      </c>
      <c r="H94" s="157">
        <f>+H71+H75+H80+H83+H87+H93+H92</f>
        <v>178105218</v>
      </c>
      <c r="I94" s="157">
        <f aca="true" t="shared" si="26" ref="I94:P94">+I71+I75+I80+I83+I87+I93+I92</f>
        <v>1316819</v>
      </c>
      <c r="J94" s="157">
        <f t="shared" si="26"/>
        <v>-14764</v>
      </c>
      <c r="K94" s="157">
        <f t="shared" si="26"/>
        <v>46752503</v>
      </c>
      <c r="L94" s="157">
        <f t="shared" si="26"/>
        <v>0</v>
      </c>
      <c r="M94" s="157">
        <f t="shared" si="26"/>
        <v>0</v>
      </c>
      <c r="N94" s="157">
        <f t="shared" si="26"/>
        <v>0</v>
      </c>
      <c r="O94" s="157">
        <f t="shared" si="26"/>
        <v>48054558</v>
      </c>
      <c r="P94" s="193">
        <f t="shared" si="26"/>
        <v>226159776</v>
      </c>
    </row>
    <row r="95" spans="1:16" s="163" customFormat="1" ht="25.5" customHeight="1" thickBot="1">
      <c r="A95" s="206" t="s">
        <v>377</v>
      </c>
      <c r="B95" s="172" t="s">
        <v>379</v>
      </c>
      <c r="C95" s="157">
        <f>+C70+C94</f>
        <v>615821268</v>
      </c>
      <c r="D95" s="238">
        <f>+D70+D94</f>
        <v>853730927</v>
      </c>
      <c r="E95" s="193">
        <f>+E70+E94</f>
        <v>848116616</v>
      </c>
      <c r="G95" s="664" t="s">
        <v>379</v>
      </c>
      <c r="H95" s="157">
        <f>+H70+H94</f>
        <v>575571854</v>
      </c>
      <c r="I95" s="157">
        <f aca="true" t="shared" si="27" ref="I95:P95">+I70+I94</f>
        <v>-2262679</v>
      </c>
      <c r="J95" s="157">
        <f t="shared" si="27"/>
        <v>28034855</v>
      </c>
      <c r="K95" s="157">
        <f t="shared" si="27"/>
        <v>132413049</v>
      </c>
      <c r="L95" s="157">
        <f t="shared" si="27"/>
        <v>0</v>
      </c>
      <c r="M95" s="157">
        <f t="shared" si="27"/>
        <v>0</v>
      </c>
      <c r="N95" s="157">
        <f t="shared" si="27"/>
        <v>0</v>
      </c>
      <c r="O95" s="157">
        <f t="shared" si="27"/>
        <v>158185225</v>
      </c>
      <c r="P95" s="193">
        <f t="shared" si="27"/>
        <v>733757079</v>
      </c>
    </row>
    <row r="96" spans="1:3" s="163" customFormat="1" ht="15" customHeight="1">
      <c r="A96" s="3"/>
      <c r="B96" s="4"/>
      <c r="C96" s="98"/>
    </row>
    <row r="97" spans="1:5" ht="16.5" customHeight="1">
      <c r="A97" s="843" t="s">
        <v>34</v>
      </c>
      <c r="B97" s="843"/>
      <c r="C97" s="843"/>
      <c r="D97" s="843"/>
      <c r="E97" s="843"/>
    </row>
    <row r="98" spans="1:5" s="173" customFormat="1" ht="16.5" customHeight="1" thickBot="1">
      <c r="A98" s="845" t="s">
        <v>102</v>
      </c>
      <c r="B98" s="845"/>
      <c r="C98" s="55"/>
      <c r="E98" s="55" t="str">
        <f>E7</f>
        <v> Forintban!</v>
      </c>
    </row>
    <row r="99" spans="1:5" ht="15.75">
      <c r="A99" s="834" t="s">
        <v>51</v>
      </c>
      <c r="B99" s="836" t="s">
        <v>419</v>
      </c>
      <c r="C99" s="838" t="str">
        <f>+CONCATENATE(LEFT(Z_ÖSSZEFÜGGÉSEK!A6,4),". évi")</f>
        <v>2021. évi</v>
      </c>
      <c r="D99" s="839"/>
      <c r="E99" s="840"/>
    </row>
    <row r="100" spans="1:5" ht="24.75" thickBot="1">
      <c r="A100" s="835"/>
      <c r="B100" s="837"/>
      <c r="C100" s="231" t="s">
        <v>417</v>
      </c>
      <c r="D100" s="230" t="s">
        <v>418</v>
      </c>
      <c r="E100" s="340" t="str">
        <f>CONCATENATE(E9)</f>
        <v>2021. XII. 31.
teljesítés</v>
      </c>
    </row>
    <row r="101" spans="1:5" s="162" customFormat="1" ht="12" customHeight="1" thickBot="1">
      <c r="A101" s="24" t="s">
        <v>384</v>
      </c>
      <c r="B101" s="25" t="s">
        <v>385</v>
      </c>
      <c r="C101" s="25" t="s">
        <v>386</v>
      </c>
      <c r="D101" s="25" t="s">
        <v>388</v>
      </c>
      <c r="E101" s="242" t="s">
        <v>387</v>
      </c>
    </row>
    <row r="102" spans="1:16" ht="12" customHeight="1" thickBot="1">
      <c r="A102" s="20" t="s">
        <v>6</v>
      </c>
      <c r="B102" s="23" t="s">
        <v>337</v>
      </c>
      <c r="C102" s="150">
        <f>C103+C104+C105+C106+C107+C120</f>
        <v>489573995</v>
      </c>
      <c r="D102" s="680">
        <f>D103+D104+D105+D106+D107+D120</f>
        <v>656207005</v>
      </c>
      <c r="E102" s="217">
        <f>E103+E104+E105+E106+E107+E120</f>
        <v>426440773</v>
      </c>
      <c r="G102" s="23" t="s">
        <v>337</v>
      </c>
      <c r="H102" s="150">
        <f>H103+H104+H105+H106+H107+H120</f>
        <v>481437743</v>
      </c>
      <c r="I102" s="150">
        <f>I103+I104+I105+I106+I107+I120</f>
        <v>13963281</v>
      </c>
      <c r="J102" s="150">
        <f aca="true" t="shared" si="28" ref="J102:P102">J103+J104+J105+J106+J107+J120</f>
        <v>9252605</v>
      </c>
      <c r="K102" s="150">
        <f t="shared" si="28"/>
        <v>129914281</v>
      </c>
      <c r="L102" s="150">
        <f t="shared" si="28"/>
        <v>0</v>
      </c>
      <c r="M102" s="150">
        <f t="shared" si="28"/>
        <v>0</v>
      </c>
      <c r="N102" s="150">
        <f t="shared" si="28"/>
        <v>0</v>
      </c>
      <c r="O102" s="150">
        <f t="shared" si="28"/>
        <v>153130167</v>
      </c>
      <c r="P102" s="217">
        <f t="shared" si="28"/>
        <v>634567910</v>
      </c>
    </row>
    <row r="103" spans="1:16" ht="12" customHeight="1">
      <c r="A103" s="15" t="s">
        <v>63</v>
      </c>
      <c r="B103" s="8" t="s">
        <v>35</v>
      </c>
      <c r="C103" s="753">
        <v>185527125</v>
      </c>
      <c r="D103" s="724">
        <v>193943152</v>
      </c>
      <c r="E103" s="218">
        <v>163979023</v>
      </c>
      <c r="G103" s="8" t="s">
        <v>35</v>
      </c>
      <c r="H103" s="665">
        <v>161523559</v>
      </c>
      <c r="I103" s="224">
        <v>-292477</v>
      </c>
      <c r="J103" s="224">
        <v>1408528</v>
      </c>
      <c r="K103" s="224">
        <v>1990732</v>
      </c>
      <c r="L103" s="224"/>
      <c r="M103" s="224"/>
      <c r="N103" s="224"/>
      <c r="O103" s="590">
        <f aca="true" t="shared" si="29" ref="O103:O122">I103+J103+K103+L103+M103+N103</f>
        <v>3106783</v>
      </c>
      <c r="P103" s="666">
        <f aca="true" t="shared" si="30" ref="P103:P122">H103+O103</f>
        <v>164630342</v>
      </c>
    </row>
    <row r="104" spans="1:16" ht="12" customHeight="1">
      <c r="A104" s="12" t="s">
        <v>64</v>
      </c>
      <c r="B104" s="6" t="s">
        <v>123</v>
      </c>
      <c r="C104" s="754">
        <v>31757894</v>
      </c>
      <c r="D104" s="236">
        <v>31476029</v>
      </c>
      <c r="E104" s="88">
        <v>25040334</v>
      </c>
      <c r="G104" s="6" t="s">
        <v>123</v>
      </c>
      <c r="H104" s="152">
        <v>29967290</v>
      </c>
      <c r="I104" s="152">
        <v>-112434</v>
      </c>
      <c r="J104" s="152">
        <v>175000</v>
      </c>
      <c r="K104" s="152">
        <v>-10125</v>
      </c>
      <c r="L104" s="152"/>
      <c r="M104" s="152"/>
      <c r="N104" s="152"/>
      <c r="O104" s="585">
        <f t="shared" si="29"/>
        <v>52441</v>
      </c>
      <c r="P104" s="667">
        <f t="shared" si="30"/>
        <v>30019731</v>
      </c>
    </row>
    <row r="105" spans="1:16" ht="12" customHeight="1">
      <c r="A105" s="12" t="s">
        <v>65</v>
      </c>
      <c r="B105" s="6" t="s">
        <v>91</v>
      </c>
      <c r="C105" s="755">
        <v>193131439</v>
      </c>
      <c r="D105" s="237">
        <v>213808249</v>
      </c>
      <c r="E105" s="90">
        <v>168005320</v>
      </c>
      <c r="G105" s="6" t="s">
        <v>91</v>
      </c>
      <c r="H105" s="154">
        <v>179645431</v>
      </c>
      <c r="I105" s="154">
        <v>9867800</v>
      </c>
      <c r="J105" s="154">
        <v>1463345</v>
      </c>
      <c r="K105" s="154">
        <v>3459388</v>
      </c>
      <c r="L105" s="154"/>
      <c r="M105" s="154"/>
      <c r="N105" s="154"/>
      <c r="O105" s="586">
        <f t="shared" si="29"/>
        <v>14790533</v>
      </c>
      <c r="P105" s="668">
        <f t="shared" si="30"/>
        <v>194435964</v>
      </c>
    </row>
    <row r="106" spans="1:16" ht="12" customHeight="1">
      <c r="A106" s="12" t="s">
        <v>66</v>
      </c>
      <c r="B106" s="9" t="s">
        <v>124</v>
      </c>
      <c r="C106" s="755">
        <v>5840000</v>
      </c>
      <c r="D106" s="237">
        <v>5840000</v>
      </c>
      <c r="E106" s="90">
        <v>3623347</v>
      </c>
      <c r="G106" s="9" t="s">
        <v>124</v>
      </c>
      <c r="H106" s="154">
        <v>5690000</v>
      </c>
      <c r="I106" s="154"/>
      <c r="J106" s="154"/>
      <c r="K106" s="154"/>
      <c r="L106" s="154"/>
      <c r="M106" s="154"/>
      <c r="N106" s="154"/>
      <c r="O106" s="586">
        <f t="shared" si="29"/>
        <v>0</v>
      </c>
      <c r="P106" s="668">
        <f t="shared" si="30"/>
        <v>5690000</v>
      </c>
    </row>
    <row r="107" spans="1:16" ht="12" customHeight="1">
      <c r="A107" s="12" t="s">
        <v>75</v>
      </c>
      <c r="B107" s="17" t="s">
        <v>125</v>
      </c>
      <c r="C107" s="755">
        <v>53238537</v>
      </c>
      <c r="D107" s="237">
        <v>66526768</v>
      </c>
      <c r="E107" s="90">
        <v>65792749</v>
      </c>
      <c r="G107" s="17" t="s">
        <v>125</v>
      </c>
      <c r="H107" s="154">
        <v>61386336</v>
      </c>
      <c r="I107" s="154">
        <v>-12319603</v>
      </c>
      <c r="J107" s="154">
        <v>250000</v>
      </c>
      <c r="K107" s="154">
        <v>4519028</v>
      </c>
      <c r="L107" s="154"/>
      <c r="M107" s="154"/>
      <c r="N107" s="154"/>
      <c r="O107" s="586">
        <f t="shared" si="29"/>
        <v>-7550575</v>
      </c>
      <c r="P107" s="668">
        <f t="shared" si="30"/>
        <v>53835761</v>
      </c>
    </row>
    <row r="108" spans="1:16" ht="12" customHeight="1">
      <c r="A108" s="12" t="s">
        <v>67</v>
      </c>
      <c r="B108" s="6" t="s">
        <v>342</v>
      </c>
      <c r="C108" s="755"/>
      <c r="D108" s="237"/>
      <c r="E108" s="90"/>
      <c r="G108" s="6" t="s">
        <v>342</v>
      </c>
      <c r="H108" s="154"/>
      <c r="I108" s="154"/>
      <c r="J108" s="154"/>
      <c r="K108" s="154"/>
      <c r="L108" s="154"/>
      <c r="M108" s="154"/>
      <c r="N108" s="154"/>
      <c r="O108" s="586">
        <f t="shared" si="29"/>
        <v>0</v>
      </c>
      <c r="P108" s="668">
        <f t="shared" si="30"/>
        <v>0</v>
      </c>
    </row>
    <row r="109" spans="1:16" ht="12" customHeight="1">
      <c r="A109" s="12" t="s">
        <v>68</v>
      </c>
      <c r="B109" s="59" t="s">
        <v>341</v>
      </c>
      <c r="C109" s="755"/>
      <c r="D109" s="237"/>
      <c r="E109" s="90"/>
      <c r="G109" s="59" t="s">
        <v>341</v>
      </c>
      <c r="H109" s="154"/>
      <c r="I109" s="154"/>
      <c r="J109" s="154"/>
      <c r="K109" s="154"/>
      <c r="L109" s="154"/>
      <c r="M109" s="154"/>
      <c r="N109" s="154"/>
      <c r="O109" s="586">
        <f t="shared" si="29"/>
        <v>0</v>
      </c>
      <c r="P109" s="668">
        <f t="shared" si="30"/>
        <v>0</v>
      </c>
    </row>
    <row r="110" spans="1:16" ht="12" customHeight="1">
      <c r="A110" s="12" t="s">
        <v>76</v>
      </c>
      <c r="B110" s="59" t="s">
        <v>340</v>
      </c>
      <c r="C110" s="755">
        <v>5706888</v>
      </c>
      <c r="D110" s="237">
        <v>5892108</v>
      </c>
      <c r="E110" s="90">
        <v>5892108</v>
      </c>
      <c r="G110" s="59" t="s">
        <v>340</v>
      </c>
      <c r="H110" s="154">
        <v>99672</v>
      </c>
      <c r="I110" s="154"/>
      <c r="J110" s="154"/>
      <c r="K110" s="154">
        <v>-99672</v>
      </c>
      <c r="L110" s="154"/>
      <c r="M110" s="154"/>
      <c r="N110" s="154"/>
      <c r="O110" s="586">
        <f t="shared" si="29"/>
        <v>-99672</v>
      </c>
      <c r="P110" s="668">
        <f t="shared" si="30"/>
        <v>0</v>
      </c>
    </row>
    <row r="111" spans="1:16" ht="12" customHeight="1">
      <c r="A111" s="12" t="s">
        <v>77</v>
      </c>
      <c r="B111" s="57" t="s">
        <v>257</v>
      </c>
      <c r="C111" s="755"/>
      <c r="D111" s="237"/>
      <c r="E111" s="90"/>
      <c r="G111" s="57" t="s">
        <v>257</v>
      </c>
      <c r="H111" s="154"/>
      <c r="I111" s="154"/>
      <c r="J111" s="154"/>
      <c r="K111" s="154"/>
      <c r="L111" s="154"/>
      <c r="M111" s="154"/>
      <c r="N111" s="154"/>
      <c r="O111" s="586">
        <f t="shared" si="29"/>
        <v>0</v>
      </c>
      <c r="P111" s="668">
        <f t="shared" si="30"/>
        <v>0</v>
      </c>
    </row>
    <row r="112" spans="1:16" ht="12" customHeight="1">
      <c r="A112" s="12" t="s">
        <v>78</v>
      </c>
      <c r="B112" s="58" t="s">
        <v>258</v>
      </c>
      <c r="C112" s="755"/>
      <c r="D112" s="237"/>
      <c r="E112" s="90"/>
      <c r="G112" s="58" t="s">
        <v>258</v>
      </c>
      <c r="H112" s="154"/>
      <c r="I112" s="154"/>
      <c r="J112" s="154"/>
      <c r="K112" s="154"/>
      <c r="L112" s="154"/>
      <c r="M112" s="154"/>
      <c r="N112" s="154"/>
      <c r="O112" s="586">
        <f t="shared" si="29"/>
        <v>0</v>
      </c>
      <c r="P112" s="668">
        <f t="shared" si="30"/>
        <v>0</v>
      </c>
    </row>
    <row r="113" spans="1:16" ht="12" customHeight="1">
      <c r="A113" s="12" t="s">
        <v>79</v>
      </c>
      <c r="B113" s="58" t="s">
        <v>259</v>
      </c>
      <c r="C113" s="755"/>
      <c r="D113" s="237"/>
      <c r="E113" s="90"/>
      <c r="G113" s="58" t="s">
        <v>259</v>
      </c>
      <c r="H113" s="154"/>
      <c r="I113" s="154"/>
      <c r="J113" s="154"/>
      <c r="K113" s="154"/>
      <c r="L113" s="154"/>
      <c r="M113" s="154"/>
      <c r="N113" s="154"/>
      <c r="O113" s="586">
        <f t="shared" si="29"/>
        <v>0</v>
      </c>
      <c r="P113" s="668">
        <f t="shared" si="30"/>
        <v>0</v>
      </c>
    </row>
    <row r="114" spans="1:16" ht="12" customHeight="1">
      <c r="A114" s="12" t="s">
        <v>81</v>
      </c>
      <c r="B114" s="57" t="s">
        <v>260</v>
      </c>
      <c r="C114" s="755">
        <v>45252464</v>
      </c>
      <c r="D114" s="237">
        <v>45605175</v>
      </c>
      <c r="E114" s="90">
        <v>45500540</v>
      </c>
      <c r="G114" s="57" t="s">
        <v>260</v>
      </c>
      <c r="H114" s="154">
        <v>44562839</v>
      </c>
      <c r="I114" s="154">
        <v>1604596</v>
      </c>
      <c r="J114" s="154"/>
      <c r="K114" s="154"/>
      <c r="L114" s="154"/>
      <c r="M114" s="154"/>
      <c r="N114" s="154"/>
      <c r="O114" s="586">
        <f t="shared" si="29"/>
        <v>1604596</v>
      </c>
      <c r="P114" s="668">
        <f t="shared" si="30"/>
        <v>46167435</v>
      </c>
    </row>
    <row r="115" spans="1:16" ht="12" customHeight="1">
      <c r="A115" s="12" t="s">
        <v>126</v>
      </c>
      <c r="B115" s="57" t="s">
        <v>261</v>
      </c>
      <c r="C115" s="755"/>
      <c r="D115" s="237"/>
      <c r="E115" s="90"/>
      <c r="G115" s="57" t="s">
        <v>261</v>
      </c>
      <c r="H115" s="154"/>
      <c r="I115" s="154"/>
      <c r="J115" s="154"/>
      <c r="K115" s="154"/>
      <c r="L115" s="154"/>
      <c r="M115" s="154"/>
      <c r="N115" s="154"/>
      <c r="O115" s="586">
        <f t="shared" si="29"/>
        <v>0</v>
      </c>
      <c r="P115" s="668">
        <f t="shared" si="30"/>
        <v>0</v>
      </c>
    </row>
    <row r="116" spans="1:16" ht="12" customHeight="1">
      <c r="A116" s="12" t="s">
        <v>255</v>
      </c>
      <c r="B116" s="58" t="s">
        <v>262</v>
      </c>
      <c r="C116" s="755"/>
      <c r="D116" s="237"/>
      <c r="E116" s="90"/>
      <c r="G116" s="58" t="s">
        <v>262</v>
      </c>
      <c r="H116" s="154"/>
      <c r="I116" s="154"/>
      <c r="J116" s="154"/>
      <c r="K116" s="154"/>
      <c r="L116" s="154"/>
      <c r="M116" s="154"/>
      <c r="N116" s="154"/>
      <c r="O116" s="586">
        <f t="shared" si="29"/>
        <v>0</v>
      </c>
      <c r="P116" s="668">
        <f t="shared" si="30"/>
        <v>0</v>
      </c>
    </row>
    <row r="117" spans="1:16" ht="12" customHeight="1">
      <c r="A117" s="11" t="s">
        <v>256</v>
      </c>
      <c r="B117" s="59" t="s">
        <v>263</v>
      </c>
      <c r="C117" s="755"/>
      <c r="D117" s="237"/>
      <c r="E117" s="90"/>
      <c r="G117" s="59" t="s">
        <v>263</v>
      </c>
      <c r="H117" s="154"/>
      <c r="I117" s="154"/>
      <c r="J117" s="154"/>
      <c r="K117" s="154"/>
      <c r="L117" s="154"/>
      <c r="M117" s="154"/>
      <c r="N117" s="154"/>
      <c r="O117" s="586">
        <f t="shared" si="29"/>
        <v>0</v>
      </c>
      <c r="P117" s="668">
        <f t="shared" si="30"/>
        <v>0</v>
      </c>
    </row>
    <row r="118" spans="1:16" ht="12" customHeight="1">
      <c r="A118" s="12" t="s">
        <v>338</v>
      </c>
      <c r="B118" s="59" t="s">
        <v>264</v>
      </c>
      <c r="C118" s="755"/>
      <c r="D118" s="237"/>
      <c r="E118" s="90"/>
      <c r="G118" s="59" t="s">
        <v>264</v>
      </c>
      <c r="H118" s="154"/>
      <c r="I118" s="154"/>
      <c r="J118" s="154"/>
      <c r="K118" s="154"/>
      <c r="L118" s="154"/>
      <c r="M118" s="154"/>
      <c r="N118" s="154"/>
      <c r="O118" s="586">
        <f t="shared" si="29"/>
        <v>0</v>
      </c>
      <c r="P118" s="668">
        <f t="shared" si="30"/>
        <v>0</v>
      </c>
    </row>
    <row r="119" spans="1:16" ht="12" customHeight="1">
      <c r="A119" s="14" t="s">
        <v>339</v>
      </c>
      <c r="B119" s="59" t="s">
        <v>265</v>
      </c>
      <c r="C119" s="755">
        <v>2279185</v>
      </c>
      <c r="D119" s="237">
        <v>15029485</v>
      </c>
      <c r="E119" s="90">
        <v>14400101</v>
      </c>
      <c r="G119" s="59" t="s">
        <v>265</v>
      </c>
      <c r="H119" s="154">
        <v>16723825</v>
      </c>
      <c r="I119" s="154">
        <v>-13924200</v>
      </c>
      <c r="J119" s="154">
        <v>250000</v>
      </c>
      <c r="K119" s="154">
        <v>4618700</v>
      </c>
      <c r="L119" s="154"/>
      <c r="M119" s="154"/>
      <c r="N119" s="154"/>
      <c r="O119" s="586">
        <f t="shared" si="29"/>
        <v>-9055500</v>
      </c>
      <c r="P119" s="668">
        <f t="shared" si="30"/>
        <v>7668325</v>
      </c>
    </row>
    <row r="120" spans="1:16" ht="12" customHeight="1">
      <c r="A120" s="12" t="s">
        <v>343</v>
      </c>
      <c r="B120" s="9" t="s">
        <v>36</v>
      </c>
      <c r="C120" s="754">
        <v>20079000</v>
      </c>
      <c r="D120" s="236">
        <v>144612807</v>
      </c>
      <c r="E120" s="88"/>
      <c r="G120" s="9" t="s">
        <v>36</v>
      </c>
      <c r="H120" s="152">
        <v>43225127</v>
      </c>
      <c r="I120" s="152">
        <v>16819995</v>
      </c>
      <c r="J120" s="152">
        <v>5955732</v>
      </c>
      <c r="K120" s="152">
        <v>119955258</v>
      </c>
      <c r="L120" s="152"/>
      <c r="M120" s="152"/>
      <c r="N120" s="152"/>
      <c r="O120" s="585">
        <f t="shared" si="29"/>
        <v>142730985</v>
      </c>
      <c r="P120" s="667">
        <f t="shared" si="30"/>
        <v>185956112</v>
      </c>
    </row>
    <row r="121" spans="1:16" ht="12" customHeight="1">
      <c r="A121" s="12" t="s">
        <v>344</v>
      </c>
      <c r="B121" s="6" t="s">
        <v>346</v>
      </c>
      <c r="C121" s="754">
        <v>12665713</v>
      </c>
      <c r="D121" s="236">
        <v>137199520</v>
      </c>
      <c r="E121" s="88"/>
      <c r="G121" s="6" t="s">
        <v>346</v>
      </c>
      <c r="H121" s="152">
        <v>35982201</v>
      </c>
      <c r="I121" s="152">
        <v>16819995</v>
      </c>
      <c r="J121" s="152">
        <v>5955732</v>
      </c>
      <c r="K121" s="152">
        <v>119955258</v>
      </c>
      <c r="L121" s="152"/>
      <c r="M121" s="152"/>
      <c r="N121" s="152"/>
      <c r="O121" s="585">
        <f t="shared" si="29"/>
        <v>142730985</v>
      </c>
      <c r="P121" s="667">
        <f t="shared" si="30"/>
        <v>178713186</v>
      </c>
    </row>
    <row r="122" spans="1:16" ht="12" customHeight="1" thickBot="1">
      <c r="A122" s="16" t="s">
        <v>345</v>
      </c>
      <c r="B122" s="213" t="s">
        <v>347</v>
      </c>
      <c r="C122" s="756">
        <v>7413287</v>
      </c>
      <c r="D122" s="301">
        <v>7413287</v>
      </c>
      <c r="E122" s="219"/>
      <c r="G122" s="213" t="s">
        <v>347</v>
      </c>
      <c r="H122" s="225">
        <v>7242926</v>
      </c>
      <c r="I122" s="225">
        <v>0</v>
      </c>
      <c r="J122" s="225"/>
      <c r="K122" s="225"/>
      <c r="L122" s="225"/>
      <c r="M122" s="225"/>
      <c r="N122" s="225"/>
      <c r="O122" s="591">
        <f t="shared" si="29"/>
        <v>0</v>
      </c>
      <c r="P122" s="659">
        <f t="shared" si="30"/>
        <v>7242926</v>
      </c>
    </row>
    <row r="123" spans="1:16" ht="12" customHeight="1" thickBot="1">
      <c r="A123" s="211" t="s">
        <v>7</v>
      </c>
      <c r="B123" s="212" t="s">
        <v>266</v>
      </c>
      <c r="C123" s="226">
        <f>+C124+C126+C128</f>
        <v>121870329</v>
      </c>
      <c r="D123" s="234">
        <f>+D124+D126+D128</f>
        <v>193146978</v>
      </c>
      <c r="E123" s="220">
        <f>+E124+E126+E128</f>
        <v>150585277</v>
      </c>
      <c r="G123" s="212" t="s">
        <v>266</v>
      </c>
      <c r="H123" s="226">
        <f>+H124+H126+H128</f>
        <v>90075013</v>
      </c>
      <c r="I123" s="151">
        <f aca="true" t="shared" si="31" ref="I123:P123">+I124+I126+I128</f>
        <v>-16225960</v>
      </c>
      <c r="J123" s="226">
        <f t="shared" si="31"/>
        <v>18782250</v>
      </c>
      <c r="K123" s="226">
        <f t="shared" si="31"/>
        <v>1091943</v>
      </c>
      <c r="L123" s="226">
        <f t="shared" si="31"/>
        <v>0</v>
      </c>
      <c r="M123" s="226">
        <f t="shared" si="31"/>
        <v>0</v>
      </c>
      <c r="N123" s="226">
        <f t="shared" si="31"/>
        <v>0</v>
      </c>
      <c r="O123" s="226">
        <f t="shared" si="31"/>
        <v>3648233</v>
      </c>
      <c r="P123" s="220">
        <f t="shared" si="31"/>
        <v>93723246</v>
      </c>
    </row>
    <row r="124" spans="1:16" ht="12" customHeight="1">
      <c r="A124" s="13" t="s">
        <v>69</v>
      </c>
      <c r="B124" s="6" t="s">
        <v>140</v>
      </c>
      <c r="C124" s="757">
        <v>110634329</v>
      </c>
      <c r="D124" s="235">
        <v>137286229</v>
      </c>
      <c r="E124" s="89">
        <v>112623429</v>
      </c>
      <c r="G124" s="6" t="s">
        <v>140</v>
      </c>
      <c r="H124" s="153">
        <v>61377013</v>
      </c>
      <c r="I124" s="235">
        <v>-16225960</v>
      </c>
      <c r="J124" s="235">
        <v>-232104</v>
      </c>
      <c r="K124" s="235">
        <v>26874705</v>
      </c>
      <c r="L124" s="235"/>
      <c r="M124" s="235"/>
      <c r="N124" s="153"/>
      <c r="O124" s="584">
        <f aca="true" t="shared" si="32" ref="O124:O136">I124+J124+K124+L124+M124+N124</f>
        <v>10416641</v>
      </c>
      <c r="P124" s="653">
        <f aca="true" t="shared" si="33" ref="P124:P136">H124+O124</f>
        <v>71793654</v>
      </c>
    </row>
    <row r="125" spans="1:16" ht="12" customHeight="1">
      <c r="A125" s="13" t="s">
        <v>70</v>
      </c>
      <c r="B125" s="10" t="s">
        <v>270</v>
      </c>
      <c r="C125" s="757">
        <v>23112825</v>
      </c>
      <c r="D125" s="235">
        <v>23112825</v>
      </c>
      <c r="E125" s="89">
        <v>22950066</v>
      </c>
      <c r="G125" s="10" t="s">
        <v>270</v>
      </c>
      <c r="H125" s="153"/>
      <c r="I125" s="235"/>
      <c r="J125" s="235"/>
      <c r="K125" s="235"/>
      <c r="L125" s="235"/>
      <c r="M125" s="235"/>
      <c r="N125" s="153"/>
      <c r="O125" s="584">
        <f t="shared" si="32"/>
        <v>0</v>
      </c>
      <c r="P125" s="653">
        <f t="shared" si="33"/>
        <v>0</v>
      </c>
    </row>
    <row r="126" spans="1:16" ht="12" customHeight="1">
      <c r="A126" s="13" t="s">
        <v>71</v>
      </c>
      <c r="B126" s="10" t="s">
        <v>127</v>
      </c>
      <c r="C126" s="754">
        <v>9236000</v>
      </c>
      <c r="D126" s="236">
        <v>53860749</v>
      </c>
      <c r="E126" s="88">
        <v>37961848</v>
      </c>
      <c r="G126" s="10" t="s">
        <v>127</v>
      </c>
      <c r="H126" s="152">
        <v>26698000</v>
      </c>
      <c r="I126" s="236"/>
      <c r="J126" s="236">
        <v>18987215</v>
      </c>
      <c r="K126" s="236">
        <v>-25782762</v>
      </c>
      <c r="L126" s="236"/>
      <c r="M126" s="236"/>
      <c r="N126" s="152"/>
      <c r="O126" s="585">
        <f t="shared" si="32"/>
        <v>-6795547</v>
      </c>
      <c r="P126" s="667">
        <f t="shared" si="33"/>
        <v>19902453</v>
      </c>
    </row>
    <row r="127" spans="1:16" ht="12" customHeight="1">
      <c r="A127" s="13" t="s">
        <v>72</v>
      </c>
      <c r="B127" s="10" t="s">
        <v>271</v>
      </c>
      <c r="C127" s="754"/>
      <c r="D127" s="236"/>
      <c r="E127" s="88"/>
      <c r="G127" s="10" t="s">
        <v>271</v>
      </c>
      <c r="H127" s="152"/>
      <c r="I127" s="236"/>
      <c r="J127" s="236"/>
      <c r="K127" s="236"/>
      <c r="L127" s="236"/>
      <c r="M127" s="236"/>
      <c r="N127" s="152"/>
      <c r="O127" s="585">
        <f t="shared" si="32"/>
        <v>0</v>
      </c>
      <c r="P127" s="667">
        <f t="shared" si="33"/>
        <v>0</v>
      </c>
    </row>
    <row r="128" spans="1:16" ht="12" customHeight="1">
      <c r="A128" s="13" t="s">
        <v>73</v>
      </c>
      <c r="B128" s="96" t="s">
        <v>142</v>
      </c>
      <c r="C128" s="754">
        <v>2000000</v>
      </c>
      <c r="D128" s="236">
        <v>2000000</v>
      </c>
      <c r="E128" s="88"/>
      <c r="G128" s="96" t="s">
        <v>142</v>
      </c>
      <c r="H128" s="152">
        <v>2000000</v>
      </c>
      <c r="I128" s="236"/>
      <c r="J128" s="236">
        <v>27139</v>
      </c>
      <c r="K128" s="236"/>
      <c r="L128" s="236"/>
      <c r="M128" s="236"/>
      <c r="N128" s="152"/>
      <c r="O128" s="585">
        <f t="shared" si="32"/>
        <v>27139</v>
      </c>
      <c r="P128" s="667">
        <f t="shared" si="33"/>
        <v>2027139</v>
      </c>
    </row>
    <row r="129" spans="1:16" ht="12" customHeight="1">
      <c r="A129" s="13" t="s">
        <v>80</v>
      </c>
      <c r="B129" s="95" t="s">
        <v>330</v>
      </c>
      <c r="C129" s="754"/>
      <c r="D129" s="236"/>
      <c r="E129" s="88"/>
      <c r="G129" s="95" t="s">
        <v>330</v>
      </c>
      <c r="H129" s="152"/>
      <c r="I129" s="236"/>
      <c r="J129" s="236"/>
      <c r="K129" s="236"/>
      <c r="L129" s="236"/>
      <c r="M129" s="236"/>
      <c r="N129" s="152"/>
      <c r="O129" s="585">
        <f t="shared" si="32"/>
        <v>0</v>
      </c>
      <c r="P129" s="667">
        <f t="shared" si="33"/>
        <v>0</v>
      </c>
    </row>
    <row r="130" spans="1:16" ht="12" customHeight="1">
      <c r="A130" s="13" t="s">
        <v>82</v>
      </c>
      <c r="B130" s="160" t="s">
        <v>276</v>
      </c>
      <c r="C130" s="754"/>
      <c r="D130" s="236"/>
      <c r="E130" s="88"/>
      <c r="G130" s="160" t="s">
        <v>276</v>
      </c>
      <c r="H130" s="152"/>
      <c r="I130" s="236"/>
      <c r="J130" s="236"/>
      <c r="K130" s="236"/>
      <c r="L130" s="236"/>
      <c r="M130" s="236"/>
      <c r="N130" s="152"/>
      <c r="O130" s="585">
        <f t="shared" si="32"/>
        <v>0</v>
      </c>
      <c r="P130" s="667">
        <f t="shared" si="33"/>
        <v>0</v>
      </c>
    </row>
    <row r="131" spans="1:16" ht="45">
      <c r="A131" s="13" t="s">
        <v>128</v>
      </c>
      <c r="B131" s="58" t="s">
        <v>259</v>
      </c>
      <c r="C131" s="754"/>
      <c r="D131" s="236"/>
      <c r="E131" s="88"/>
      <c r="G131" s="58" t="s">
        <v>259</v>
      </c>
      <c r="H131" s="152"/>
      <c r="I131" s="236"/>
      <c r="J131" s="236"/>
      <c r="K131" s="236"/>
      <c r="L131" s="236"/>
      <c r="M131" s="236"/>
      <c r="N131" s="152"/>
      <c r="O131" s="585">
        <f t="shared" si="32"/>
        <v>0</v>
      </c>
      <c r="P131" s="667">
        <f t="shared" si="33"/>
        <v>0</v>
      </c>
    </row>
    <row r="132" spans="1:16" ht="12" customHeight="1">
      <c r="A132" s="13" t="s">
        <v>129</v>
      </c>
      <c r="B132" s="58" t="s">
        <v>275</v>
      </c>
      <c r="C132" s="754"/>
      <c r="D132" s="236"/>
      <c r="E132" s="88"/>
      <c r="G132" s="58" t="s">
        <v>275</v>
      </c>
      <c r="H132" s="152"/>
      <c r="I132" s="236"/>
      <c r="J132" s="236"/>
      <c r="K132" s="236"/>
      <c r="L132" s="236"/>
      <c r="M132" s="236"/>
      <c r="N132" s="152"/>
      <c r="O132" s="585">
        <f t="shared" si="32"/>
        <v>0</v>
      </c>
      <c r="P132" s="667">
        <f t="shared" si="33"/>
        <v>0</v>
      </c>
    </row>
    <row r="133" spans="1:16" ht="12" customHeight="1">
      <c r="A133" s="13" t="s">
        <v>130</v>
      </c>
      <c r="B133" s="58" t="s">
        <v>274</v>
      </c>
      <c r="C133" s="754"/>
      <c r="D133" s="236"/>
      <c r="E133" s="88"/>
      <c r="G133" s="58" t="s">
        <v>274</v>
      </c>
      <c r="H133" s="152"/>
      <c r="I133" s="236"/>
      <c r="J133" s="236"/>
      <c r="K133" s="236"/>
      <c r="L133" s="236"/>
      <c r="M133" s="236"/>
      <c r="N133" s="152"/>
      <c r="O133" s="585">
        <f t="shared" si="32"/>
        <v>0</v>
      </c>
      <c r="P133" s="667">
        <f t="shared" si="33"/>
        <v>0</v>
      </c>
    </row>
    <row r="134" spans="1:16" ht="12" customHeight="1">
      <c r="A134" s="13" t="s">
        <v>267</v>
      </c>
      <c r="B134" s="58" t="s">
        <v>262</v>
      </c>
      <c r="C134" s="754">
        <v>2000000</v>
      </c>
      <c r="D134" s="236">
        <v>2000000</v>
      </c>
      <c r="E134" s="88"/>
      <c r="G134" s="58" t="s">
        <v>262</v>
      </c>
      <c r="H134" s="152"/>
      <c r="I134" s="236"/>
      <c r="J134" s="236"/>
      <c r="K134" s="236"/>
      <c r="L134" s="236"/>
      <c r="M134" s="236"/>
      <c r="N134" s="152"/>
      <c r="O134" s="585">
        <f t="shared" si="32"/>
        <v>0</v>
      </c>
      <c r="P134" s="667">
        <f t="shared" si="33"/>
        <v>0</v>
      </c>
    </row>
    <row r="135" spans="1:16" ht="12" customHeight="1">
      <c r="A135" s="13" t="s">
        <v>268</v>
      </c>
      <c r="B135" s="58" t="s">
        <v>273</v>
      </c>
      <c r="C135" s="152"/>
      <c r="D135" s="236"/>
      <c r="E135" s="88"/>
      <c r="G135" s="58" t="s">
        <v>273</v>
      </c>
      <c r="H135" s="152"/>
      <c r="I135" s="236"/>
      <c r="J135" s="236"/>
      <c r="K135" s="236"/>
      <c r="L135" s="236"/>
      <c r="M135" s="236"/>
      <c r="N135" s="152"/>
      <c r="O135" s="585">
        <f t="shared" si="32"/>
        <v>0</v>
      </c>
      <c r="P135" s="667">
        <f t="shared" si="33"/>
        <v>0</v>
      </c>
    </row>
    <row r="136" spans="1:16" ht="45.75" thickBot="1">
      <c r="A136" s="11" t="s">
        <v>269</v>
      </c>
      <c r="B136" s="58" t="s">
        <v>272</v>
      </c>
      <c r="C136" s="154"/>
      <c r="D136" s="237"/>
      <c r="E136" s="90"/>
      <c r="G136" s="58" t="s">
        <v>272</v>
      </c>
      <c r="H136" s="154"/>
      <c r="I136" s="237"/>
      <c r="J136" s="237">
        <v>27139</v>
      </c>
      <c r="K136" s="237"/>
      <c r="L136" s="237"/>
      <c r="M136" s="237"/>
      <c r="N136" s="154"/>
      <c r="O136" s="586">
        <f t="shared" si="32"/>
        <v>27139</v>
      </c>
      <c r="P136" s="668">
        <f t="shared" si="33"/>
        <v>27139</v>
      </c>
    </row>
    <row r="137" spans="1:16" ht="12" customHeight="1" thickBot="1">
      <c r="A137" s="18" t="s">
        <v>8</v>
      </c>
      <c r="B137" s="51" t="s">
        <v>348</v>
      </c>
      <c r="C137" s="151">
        <f>+C102+C123</f>
        <v>611444324</v>
      </c>
      <c r="D137" s="234">
        <f>+D102+D123</f>
        <v>849353983</v>
      </c>
      <c r="E137" s="87">
        <f>+E102+E123</f>
        <v>577026050</v>
      </c>
      <c r="G137" s="51" t="s">
        <v>348</v>
      </c>
      <c r="H137" s="151">
        <f>+H102+H123</f>
        <v>571512756</v>
      </c>
      <c r="I137" s="234">
        <f>+I102+I123</f>
        <v>-2262679</v>
      </c>
      <c r="J137" s="234">
        <f aca="true" t="shared" si="34" ref="J137:P137">+J102+J123</f>
        <v>28034855</v>
      </c>
      <c r="K137" s="234">
        <f t="shared" si="34"/>
        <v>131006224</v>
      </c>
      <c r="L137" s="234">
        <f t="shared" si="34"/>
        <v>0</v>
      </c>
      <c r="M137" s="234">
        <f t="shared" si="34"/>
        <v>0</v>
      </c>
      <c r="N137" s="151">
        <f t="shared" si="34"/>
        <v>0</v>
      </c>
      <c r="O137" s="151">
        <f t="shared" si="34"/>
        <v>156778400</v>
      </c>
      <c r="P137" s="87">
        <f t="shared" si="34"/>
        <v>728291156</v>
      </c>
    </row>
    <row r="138" spans="1:16" ht="12" customHeight="1" thickBot="1">
      <c r="A138" s="18" t="s">
        <v>9</v>
      </c>
      <c r="B138" s="51" t="s">
        <v>420</v>
      </c>
      <c r="C138" s="151">
        <f>+C139+C140+C141</f>
        <v>0</v>
      </c>
      <c r="D138" s="234">
        <f>+D139+D140+D141</f>
        <v>0</v>
      </c>
      <c r="E138" s="87">
        <f>+E139+E140+E141</f>
        <v>0</v>
      </c>
      <c r="G138" s="51" t="s">
        <v>420</v>
      </c>
      <c r="H138" s="151">
        <f>+H139+H140+H141</f>
        <v>0</v>
      </c>
      <c r="I138" s="234">
        <f aca="true" t="shared" si="35" ref="I138:P138">+I139+I140+I141</f>
        <v>0</v>
      </c>
      <c r="J138" s="234">
        <f t="shared" si="35"/>
        <v>0</v>
      </c>
      <c r="K138" s="234">
        <f t="shared" si="35"/>
        <v>0</v>
      </c>
      <c r="L138" s="234">
        <f t="shared" si="35"/>
        <v>0</v>
      </c>
      <c r="M138" s="234">
        <f t="shared" si="35"/>
        <v>0</v>
      </c>
      <c r="N138" s="151">
        <f t="shared" si="35"/>
        <v>0</v>
      </c>
      <c r="O138" s="151">
        <f t="shared" si="35"/>
        <v>0</v>
      </c>
      <c r="P138" s="87">
        <f t="shared" si="35"/>
        <v>0</v>
      </c>
    </row>
    <row r="139" spans="1:16" ht="12" customHeight="1">
      <c r="A139" s="13" t="s">
        <v>174</v>
      </c>
      <c r="B139" s="10" t="s">
        <v>356</v>
      </c>
      <c r="C139" s="152"/>
      <c r="D139" s="236"/>
      <c r="E139" s="88"/>
      <c r="G139" s="10" t="s">
        <v>356</v>
      </c>
      <c r="H139" s="152"/>
      <c r="I139" s="236"/>
      <c r="J139" s="236"/>
      <c r="K139" s="236"/>
      <c r="L139" s="236"/>
      <c r="M139" s="236"/>
      <c r="N139" s="152"/>
      <c r="O139" s="584">
        <f>I139+J139+K139+L139+M139+N139</f>
        <v>0</v>
      </c>
      <c r="P139" s="667">
        <f>H139+O139</f>
        <v>0</v>
      </c>
    </row>
    <row r="140" spans="1:16" ht="12" customHeight="1">
      <c r="A140" s="13" t="s">
        <v>175</v>
      </c>
      <c r="B140" s="10" t="s">
        <v>357</v>
      </c>
      <c r="C140" s="152"/>
      <c r="D140" s="236"/>
      <c r="E140" s="88"/>
      <c r="G140" s="10" t="s">
        <v>357</v>
      </c>
      <c r="H140" s="152"/>
      <c r="I140" s="236"/>
      <c r="J140" s="236"/>
      <c r="K140" s="236"/>
      <c r="L140" s="236"/>
      <c r="M140" s="236"/>
      <c r="N140" s="152"/>
      <c r="O140" s="584">
        <f>I140+J140+K140+L140+M140+N140</f>
        <v>0</v>
      </c>
      <c r="P140" s="667">
        <f>H140+O140</f>
        <v>0</v>
      </c>
    </row>
    <row r="141" spans="1:16" ht="12" customHeight="1" thickBot="1">
      <c r="A141" s="11" t="s">
        <v>176</v>
      </c>
      <c r="B141" s="10" t="s">
        <v>358</v>
      </c>
      <c r="C141" s="152"/>
      <c r="D141" s="236"/>
      <c r="E141" s="88"/>
      <c r="G141" s="10" t="s">
        <v>358</v>
      </c>
      <c r="H141" s="152"/>
      <c r="I141" s="236"/>
      <c r="J141" s="236"/>
      <c r="K141" s="236"/>
      <c r="L141" s="236"/>
      <c r="M141" s="236"/>
      <c r="N141" s="152"/>
      <c r="O141" s="584">
        <f>I141+J141+K141+L141+M141+N141</f>
        <v>0</v>
      </c>
      <c r="P141" s="667">
        <f>H141+O141</f>
        <v>0</v>
      </c>
    </row>
    <row r="142" spans="1:16" ht="12" customHeight="1" thickBot="1">
      <c r="A142" s="18" t="s">
        <v>10</v>
      </c>
      <c r="B142" s="51" t="s">
        <v>350</v>
      </c>
      <c r="C142" s="151">
        <f>SUM(C143:C148)</f>
        <v>0</v>
      </c>
      <c r="D142" s="234">
        <f>SUM(D143:D148)</f>
        <v>0</v>
      </c>
      <c r="E142" s="87">
        <f>SUM(E143:E148)</f>
        <v>0</v>
      </c>
      <c r="G142" s="51" t="s">
        <v>350</v>
      </c>
      <c r="H142" s="151">
        <f>SUM(H143:H148)</f>
        <v>0</v>
      </c>
      <c r="I142" s="234">
        <f aca="true" t="shared" si="36" ref="I142:P142">SUM(I143:I148)</f>
        <v>0</v>
      </c>
      <c r="J142" s="234">
        <f t="shared" si="36"/>
        <v>0</v>
      </c>
      <c r="K142" s="234">
        <f t="shared" si="36"/>
        <v>0</v>
      </c>
      <c r="L142" s="234">
        <f t="shared" si="36"/>
        <v>0</v>
      </c>
      <c r="M142" s="234">
        <f t="shared" si="36"/>
        <v>0</v>
      </c>
      <c r="N142" s="151">
        <f t="shared" si="36"/>
        <v>0</v>
      </c>
      <c r="O142" s="151">
        <f t="shared" si="36"/>
        <v>0</v>
      </c>
      <c r="P142" s="87">
        <f t="shared" si="36"/>
        <v>0</v>
      </c>
    </row>
    <row r="143" spans="1:16" ht="12" customHeight="1">
      <c r="A143" s="13" t="s">
        <v>56</v>
      </c>
      <c r="B143" s="7" t="s">
        <v>359</v>
      </c>
      <c r="C143" s="152"/>
      <c r="D143" s="236"/>
      <c r="E143" s="88"/>
      <c r="G143" s="7" t="s">
        <v>359</v>
      </c>
      <c r="H143" s="152"/>
      <c r="I143" s="236"/>
      <c r="J143" s="236"/>
      <c r="K143" s="236"/>
      <c r="L143" s="236"/>
      <c r="M143" s="236"/>
      <c r="N143" s="152"/>
      <c r="O143" s="585">
        <f aca="true" t="shared" si="37" ref="O143:O148">I143+J143+K143+L143+M143+N143</f>
        <v>0</v>
      </c>
      <c r="P143" s="667">
        <f aca="true" t="shared" si="38" ref="P143:P148">H143+O143</f>
        <v>0</v>
      </c>
    </row>
    <row r="144" spans="1:16" ht="12" customHeight="1">
      <c r="A144" s="13" t="s">
        <v>57</v>
      </c>
      <c r="B144" s="7" t="s">
        <v>351</v>
      </c>
      <c r="C144" s="152"/>
      <c r="D144" s="236"/>
      <c r="E144" s="88"/>
      <c r="G144" s="7" t="s">
        <v>351</v>
      </c>
      <c r="H144" s="152"/>
      <c r="I144" s="236"/>
      <c r="J144" s="236"/>
      <c r="K144" s="236"/>
      <c r="L144" s="236"/>
      <c r="M144" s="236"/>
      <c r="N144" s="152"/>
      <c r="O144" s="585">
        <f t="shared" si="37"/>
        <v>0</v>
      </c>
      <c r="P144" s="667">
        <f t="shared" si="38"/>
        <v>0</v>
      </c>
    </row>
    <row r="145" spans="1:16" ht="12" customHeight="1">
      <c r="A145" s="13" t="s">
        <v>58</v>
      </c>
      <c r="B145" s="7" t="s">
        <v>352</v>
      </c>
      <c r="C145" s="152"/>
      <c r="D145" s="236"/>
      <c r="E145" s="88"/>
      <c r="G145" s="7" t="s">
        <v>352</v>
      </c>
      <c r="H145" s="152"/>
      <c r="I145" s="236"/>
      <c r="J145" s="236"/>
      <c r="K145" s="236"/>
      <c r="L145" s="236"/>
      <c r="M145" s="236"/>
      <c r="N145" s="152"/>
      <c r="O145" s="585">
        <f t="shared" si="37"/>
        <v>0</v>
      </c>
      <c r="P145" s="667">
        <f t="shared" si="38"/>
        <v>0</v>
      </c>
    </row>
    <row r="146" spans="1:16" ht="12" customHeight="1">
      <c r="A146" s="13" t="s">
        <v>115</v>
      </c>
      <c r="B146" s="7" t="s">
        <v>353</v>
      </c>
      <c r="C146" s="152"/>
      <c r="D146" s="236"/>
      <c r="E146" s="88"/>
      <c r="G146" s="7" t="s">
        <v>353</v>
      </c>
      <c r="H146" s="152"/>
      <c r="I146" s="236"/>
      <c r="J146" s="236"/>
      <c r="K146" s="236"/>
      <c r="L146" s="236"/>
      <c r="M146" s="236"/>
      <c r="N146" s="152"/>
      <c r="O146" s="585">
        <f t="shared" si="37"/>
        <v>0</v>
      </c>
      <c r="P146" s="667">
        <f t="shared" si="38"/>
        <v>0</v>
      </c>
    </row>
    <row r="147" spans="1:16" ht="12" customHeight="1">
      <c r="A147" s="13" t="s">
        <v>116</v>
      </c>
      <c r="B147" s="7" t="s">
        <v>354</v>
      </c>
      <c r="C147" s="152"/>
      <c r="D147" s="236"/>
      <c r="E147" s="88"/>
      <c r="G147" s="7" t="s">
        <v>354</v>
      </c>
      <c r="H147" s="152"/>
      <c r="I147" s="236"/>
      <c r="J147" s="236"/>
      <c r="K147" s="236"/>
      <c r="L147" s="236"/>
      <c r="M147" s="236"/>
      <c r="N147" s="152"/>
      <c r="O147" s="585">
        <f t="shared" si="37"/>
        <v>0</v>
      </c>
      <c r="P147" s="667">
        <f t="shared" si="38"/>
        <v>0</v>
      </c>
    </row>
    <row r="148" spans="1:16" ht="12" customHeight="1" thickBot="1">
      <c r="A148" s="16" t="s">
        <v>117</v>
      </c>
      <c r="B148" s="350" t="s">
        <v>355</v>
      </c>
      <c r="C148" s="152"/>
      <c r="D148" s="301"/>
      <c r="E148" s="219"/>
      <c r="G148" s="7" t="s">
        <v>355</v>
      </c>
      <c r="H148" s="152"/>
      <c r="I148" s="236"/>
      <c r="J148" s="236"/>
      <c r="K148" s="236"/>
      <c r="L148" s="236"/>
      <c r="M148" s="236"/>
      <c r="N148" s="152"/>
      <c r="O148" s="585">
        <f t="shared" si="37"/>
        <v>0</v>
      </c>
      <c r="P148" s="667">
        <f t="shared" si="38"/>
        <v>0</v>
      </c>
    </row>
    <row r="149" spans="1:16" ht="12" customHeight="1" thickBot="1">
      <c r="A149" s="18" t="s">
        <v>11</v>
      </c>
      <c r="B149" s="51" t="s">
        <v>363</v>
      </c>
      <c r="C149" s="157">
        <f>+C150+C151+C152+C153</f>
        <v>4376944</v>
      </c>
      <c r="D149" s="238">
        <f>+D150+D151+D152+D153</f>
        <v>4376944</v>
      </c>
      <c r="E149" s="193">
        <f>+E150+E151+E152+E153</f>
        <v>4376944</v>
      </c>
      <c r="G149" s="51" t="s">
        <v>363</v>
      </c>
      <c r="H149" s="157">
        <f>+H150+H151+H152+H153</f>
        <v>4059098</v>
      </c>
      <c r="I149" s="157">
        <f>+I150+I151+I152+I153</f>
        <v>0</v>
      </c>
      <c r="J149" s="238">
        <f aca="true" t="shared" si="39" ref="J149:P149">+J150+J151+J152+J153</f>
        <v>0</v>
      </c>
      <c r="K149" s="238">
        <f t="shared" si="39"/>
        <v>1406825</v>
      </c>
      <c r="L149" s="238">
        <f t="shared" si="39"/>
        <v>0</v>
      </c>
      <c r="M149" s="238">
        <f t="shared" si="39"/>
        <v>0</v>
      </c>
      <c r="N149" s="157">
        <f t="shared" si="39"/>
        <v>0</v>
      </c>
      <c r="O149" s="157">
        <f t="shared" si="39"/>
        <v>1406825</v>
      </c>
      <c r="P149" s="193">
        <f t="shared" si="39"/>
        <v>5465923</v>
      </c>
    </row>
    <row r="150" spans="1:16" ht="12" customHeight="1">
      <c r="A150" s="13" t="s">
        <v>59</v>
      </c>
      <c r="B150" s="7" t="s">
        <v>277</v>
      </c>
      <c r="C150" s="152"/>
      <c r="D150" s="236"/>
      <c r="E150" s="88"/>
      <c r="G150" s="7" t="s">
        <v>277</v>
      </c>
      <c r="H150" s="152"/>
      <c r="I150" s="236"/>
      <c r="J150" s="236"/>
      <c r="K150" s="236"/>
      <c r="L150" s="236"/>
      <c r="M150" s="236"/>
      <c r="N150" s="152"/>
      <c r="O150" s="585">
        <f>I150+J150+K150+L150+M150+N150</f>
        <v>0</v>
      </c>
      <c r="P150" s="667">
        <f>H150+O150</f>
        <v>0</v>
      </c>
    </row>
    <row r="151" spans="1:16" ht="12" customHeight="1">
      <c r="A151" s="13" t="s">
        <v>60</v>
      </c>
      <c r="B151" s="7" t="s">
        <v>278</v>
      </c>
      <c r="C151" s="152">
        <v>4376944</v>
      </c>
      <c r="D151" s="236">
        <v>4376944</v>
      </c>
      <c r="E151" s="88">
        <v>4376944</v>
      </c>
      <c r="G151" s="7" t="s">
        <v>278</v>
      </c>
      <c r="H151" s="152">
        <v>4059098</v>
      </c>
      <c r="I151" s="236"/>
      <c r="J151" s="236"/>
      <c r="K151" s="236">
        <v>1406825</v>
      </c>
      <c r="L151" s="236"/>
      <c r="M151" s="236"/>
      <c r="N151" s="152"/>
      <c r="O151" s="585">
        <f>I151+J151+K151+L151+M151+N151</f>
        <v>1406825</v>
      </c>
      <c r="P151" s="667">
        <f>H151+O151</f>
        <v>5465923</v>
      </c>
    </row>
    <row r="152" spans="1:16" ht="12" customHeight="1">
      <c r="A152" s="13" t="s">
        <v>194</v>
      </c>
      <c r="B152" s="7" t="s">
        <v>364</v>
      </c>
      <c r="C152" s="152"/>
      <c r="D152" s="236"/>
      <c r="E152" s="88"/>
      <c r="G152" s="7" t="s">
        <v>364</v>
      </c>
      <c r="H152" s="152"/>
      <c r="I152" s="236"/>
      <c r="J152" s="236"/>
      <c r="K152" s="236"/>
      <c r="L152" s="236"/>
      <c r="M152" s="236"/>
      <c r="N152" s="152"/>
      <c r="O152" s="585">
        <f>I152+J152+K152+L152+M152+N152</f>
        <v>0</v>
      </c>
      <c r="P152" s="667">
        <f>H152+O152</f>
        <v>0</v>
      </c>
    </row>
    <row r="153" spans="1:16" ht="12" customHeight="1" thickBot="1">
      <c r="A153" s="11" t="s">
        <v>195</v>
      </c>
      <c r="B153" s="5" t="s">
        <v>294</v>
      </c>
      <c r="C153" s="152"/>
      <c r="D153" s="236"/>
      <c r="E153" s="88"/>
      <c r="G153" s="5" t="s">
        <v>294</v>
      </c>
      <c r="H153" s="152"/>
      <c r="I153" s="236"/>
      <c r="J153" s="236"/>
      <c r="K153" s="236"/>
      <c r="L153" s="236"/>
      <c r="M153" s="236"/>
      <c r="N153" s="152"/>
      <c r="O153" s="585">
        <f>I153+J153+K153+L153+M153+N153</f>
        <v>0</v>
      </c>
      <c r="P153" s="667">
        <f>H153+O153</f>
        <v>0</v>
      </c>
    </row>
    <row r="154" spans="1:16" ht="12" customHeight="1" thickBot="1">
      <c r="A154" s="18" t="s">
        <v>12</v>
      </c>
      <c r="B154" s="51" t="s">
        <v>365</v>
      </c>
      <c r="C154" s="227">
        <f>SUM(C155:C159)</f>
        <v>0</v>
      </c>
      <c r="D154" s="239">
        <f>SUM(D155:D159)</f>
        <v>0</v>
      </c>
      <c r="E154" s="221">
        <f>SUM(E155:E159)</f>
        <v>0</v>
      </c>
      <c r="G154" s="51" t="s">
        <v>365</v>
      </c>
      <c r="H154" s="227">
        <f>SUM(H155:H159)</f>
        <v>0</v>
      </c>
      <c r="I154" s="239">
        <f aca="true" t="shared" si="40" ref="I154:P154">SUM(I155:I159)</f>
        <v>0</v>
      </c>
      <c r="J154" s="239">
        <f t="shared" si="40"/>
        <v>0</v>
      </c>
      <c r="K154" s="239">
        <f t="shared" si="40"/>
        <v>0</v>
      </c>
      <c r="L154" s="239">
        <f t="shared" si="40"/>
        <v>0</v>
      </c>
      <c r="M154" s="239">
        <f t="shared" si="40"/>
        <v>0</v>
      </c>
      <c r="N154" s="227">
        <f t="shared" si="40"/>
        <v>0</v>
      </c>
      <c r="O154" s="227">
        <f t="shared" si="40"/>
        <v>0</v>
      </c>
      <c r="P154" s="221">
        <f t="shared" si="40"/>
        <v>0</v>
      </c>
    </row>
    <row r="155" spans="1:16" ht="12" customHeight="1">
      <c r="A155" s="13" t="s">
        <v>61</v>
      </c>
      <c r="B155" s="7" t="s">
        <v>360</v>
      </c>
      <c r="C155" s="152"/>
      <c r="D155" s="236"/>
      <c r="E155" s="88"/>
      <c r="G155" s="7" t="s">
        <v>360</v>
      </c>
      <c r="H155" s="152"/>
      <c r="I155" s="236"/>
      <c r="J155" s="236"/>
      <c r="K155" s="236"/>
      <c r="L155" s="236"/>
      <c r="M155" s="236"/>
      <c r="N155" s="152"/>
      <c r="O155" s="585">
        <f aca="true" t="shared" si="41" ref="O155:O161">I155+J155+K155+L155+M155+N155</f>
        <v>0</v>
      </c>
      <c r="P155" s="667">
        <f aca="true" t="shared" si="42" ref="P155:P161">H155+O155</f>
        <v>0</v>
      </c>
    </row>
    <row r="156" spans="1:16" ht="12" customHeight="1">
      <c r="A156" s="13" t="s">
        <v>62</v>
      </c>
      <c r="B156" s="7" t="s">
        <v>367</v>
      </c>
      <c r="C156" s="152"/>
      <c r="D156" s="236"/>
      <c r="E156" s="88"/>
      <c r="G156" s="7" t="s">
        <v>367</v>
      </c>
      <c r="H156" s="152"/>
      <c r="I156" s="236"/>
      <c r="J156" s="236"/>
      <c r="K156" s="236"/>
      <c r="L156" s="236"/>
      <c r="M156" s="236"/>
      <c r="N156" s="152"/>
      <c r="O156" s="585">
        <f t="shared" si="41"/>
        <v>0</v>
      </c>
      <c r="P156" s="667">
        <f t="shared" si="42"/>
        <v>0</v>
      </c>
    </row>
    <row r="157" spans="1:16" ht="12" customHeight="1">
      <c r="A157" s="13" t="s">
        <v>206</v>
      </c>
      <c r="B157" s="7" t="s">
        <v>362</v>
      </c>
      <c r="C157" s="152"/>
      <c r="D157" s="236"/>
      <c r="E157" s="88"/>
      <c r="G157" s="7" t="s">
        <v>362</v>
      </c>
      <c r="H157" s="152"/>
      <c r="I157" s="236"/>
      <c r="J157" s="236"/>
      <c r="K157" s="236"/>
      <c r="L157" s="236"/>
      <c r="M157" s="236"/>
      <c r="N157" s="152"/>
      <c r="O157" s="585">
        <f t="shared" si="41"/>
        <v>0</v>
      </c>
      <c r="P157" s="667">
        <f t="shared" si="42"/>
        <v>0</v>
      </c>
    </row>
    <row r="158" spans="1:16" ht="12" customHeight="1">
      <c r="A158" s="13" t="s">
        <v>207</v>
      </c>
      <c r="B158" s="7" t="s">
        <v>368</v>
      </c>
      <c r="C158" s="152"/>
      <c r="D158" s="236"/>
      <c r="E158" s="88"/>
      <c r="G158" s="7" t="s">
        <v>368</v>
      </c>
      <c r="H158" s="152"/>
      <c r="I158" s="236"/>
      <c r="J158" s="236"/>
      <c r="K158" s="236"/>
      <c r="L158" s="236"/>
      <c r="M158" s="236"/>
      <c r="N158" s="152"/>
      <c r="O158" s="585">
        <f t="shared" si="41"/>
        <v>0</v>
      </c>
      <c r="P158" s="667">
        <f t="shared" si="42"/>
        <v>0</v>
      </c>
    </row>
    <row r="159" spans="1:16" ht="12" customHeight="1" thickBot="1">
      <c r="A159" s="13" t="s">
        <v>366</v>
      </c>
      <c r="B159" s="7" t="s">
        <v>369</v>
      </c>
      <c r="C159" s="152"/>
      <c r="D159" s="236"/>
      <c r="E159" s="88"/>
      <c r="G159" s="7" t="s">
        <v>369</v>
      </c>
      <c r="H159" s="152"/>
      <c r="I159" s="236"/>
      <c r="J159" s="237"/>
      <c r="K159" s="237"/>
      <c r="L159" s="237"/>
      <c r="M159" s="237"/>
      <c r="N159" s="154"/>
      <c r="O159" s="586">
        <f t="shared" si="41"/>
        <v>0</v>
      </c>
      <c r="P159" s="668">
        <f t="shared" si="42"/>
        <v>0</v>
      </c>
    </row>
    <row r="160" spans="1:16" ht="12" customHeight="1" thickBot="1">
      <c r="A160" s="18" t="s">
        <v>13</v>
      </c>
      <c r="B160" s="51" t="s">
        <v>370</v>
      </c>
      <c r="C160" s="228"/>
      <c r="D160" s="240"/>
      <c r="E160" s="222"/>
      <c r="G160" s="51" t="s">
        <v>370</v>
      </c>
      <c r="H160" s="228"/>
      <c r="I160" s="240"/>
      <c r="J160" s="240"/>
      <c r="K160" s="240"/>
      <c r="L160" s="240"/>
      <c r="M160" s="240"/>
      <c r="N160" s="228"/>
      <c r="O160" s="227">
        <f t="shared" si="41"/>
        <v>0</v>
      </c>
      <c r="P160" s="669">
        <f t="shared" si="42"/>
        <v>0</v>
      </c>
    </row>
    <row r="161" spans="1:16" ht="12" customHeight="1" thickBot="1">
      <c r="A161" s="18" t="s">
        <v>14</v>
      </c>
      <c r="B161" s="51" t="s">
        <v>371</v>
      </c>
      <c r="C161" s="228"/>
      <c r="D161" s="240"/>
      <c r="E161" s="222"/>
      <c r="G161" s="51" t="s">
        <v>371</v>
      </c>
      <c r="H161" s="228"/>
      <c r="I161" s="240"/>
      <c r="J161" s="670"/>
      <c r="K161" s="670"/>
      <c r="L161" s="670"/>
      <c r="M161" s="670"/>
      <c r="N161" s="671"/>
      <c r="O161" s="672">
        <f t="shared" si="41"/>
        <v>0</v>
      </c>
      <c r="P161" s="653">
        <f t="shared" si="42"/>
        <v>0</v>
      </c>
    </row>
    <row r="162" spans="1:16" ht="15" customHeight="1" thickBot="1">
      <c r="A162" s="18" t="s">
        <v>15</v>
      </c>
      <c r="B162" s="51" t="s">
        <v>373</v>
      </c>
      <c r="C162" s="229">
        <f>+C138+C142+C149+C154+C160+C161</f>
        <v>4376944</v>
      </c>
      <c r="D162" s="241">
        <f>+D138+D142+D149+D154+D160+D161</f>
        <v>4376944</v>
      </c>
      <c r="E162" s="223">
        <f>+E138+E142+E149+E154+E160+E161</f>
        <v>4376944</v>
      </c>
      <c r="F162" s="174"/>
      <c r="G162" s="51" t="s">
        <v>373</v>
      </c>
      <c r="H162" s="229">
        <f>+H138+H142+H149+H154+H160+H161</f>
        <v>4059098</v>
      </c>
      <c r="I162" s="241">
        <f aca="true" t="shared" si="43" ref="I162:P162">+I138+I142+I149+I154+I160+I161</f>
        <v>0</v>
      </c>
      <c r="J162" s="241">
        <f t="shared" si="43"/>
        <v>0</v>
      </c>
      <c r="K162" s="241">
        <f t="shared" si="43"/>
        <v>1406825</v>
      </c>
      <c r="L162" s="241">
        <f t="shared" si="43"/>
        <v>0</v>
      </c>
      <c r="M162" s="241">
        <f t="shared" si="43"/>
        <v>0</v>
      </c>
      <c r="N162" s="229">
        <f t="shared" si="43"/>
        <v>0</v>
      </c>
      <c r="O162" s="229">
        <f t="shared" si="43"/>
        <v>1406825</v>
      </c>
      <c r="P162" s="223">
        <f t="shared" si="43"/>
        <v>5465923</v>
      </c>
    </row>
    <row r="163" spans="1:16" s="163" customFormat="1" ht="12.75" customHeight="1" thickBot="1">
      <c r="A163" s="97" t="s">
        <v>16</v>
      </c>
      <c r="B163" s="138" t="s">
        <v>372</v>
      </c>
      <c r="C163" s="229">
        <f>+C137+C162</f>
        <v>615821268</v>
      </c>
      <c r="D163" s="241">
        <f>+D137+D162</f>
        <v>853730927</v>
      </c>
      <c r="E163" s="223">
        <f>+E137+E162</f>
        <v>581402994</v>
      </c>
      <c r="G163" s="138" t="s">
        <v>372</v>
      </c>
      <c r="H163" s="229">
        <f>+H137+H162</f>
        <v>575571854</v>
      </c>
      <c r="I163" s="241">
        <f aca="true" t="shared" si="44" ref="I163:P163">+I137+I162</f>
        <v>-2262679</v>
      </c>
      <c r="J163" s="241">
        <f t="shared" si="44"/>
        <v>28034855</v>
      </c>
      <c r="K163" s="241">
        <f t="shared" si="44"/>
        <v>132413049</v>
      </c>
      <c r="L163" s="241">
        <f t="shared" si="44"/>
        <v>0</v>
      </c>
      <c r="M163" s="241">
        <f t="shared" si="44"/>
        <v>0</v>
      </c>
      <c r="N163" s="229">
        <f t="shared" si="44"/>
        <v>0</v>
      </c>
      <c r="O163" s="229">
        <f t="shared" si="44"/>
        <v>158185225</v>
      </c>
      <c r="P163" s="223">
        <f t="shared" si="44"/>
        <v>733757079</v>
      </c>
    </row>
    <row r="164" spans="3:4" ht="15.75">
      <c r="C164" s="547">
        <f>C95-C163</f>
        <v>0</v>
      </c>
      <c r="D164" s="547">
        <f>D95-D163</f>
        <v>0</v>
      </c>
    </row>
    <row r="165" spans="1:5" ht="15.75">
      <c r="A165" s="841" t="s">
        <v>279</v>
      </c>
      <c r="B165" s="841"/>
      <c r="C165" s="841"/>
      <c r="D165" s="841"/>
      <c r="E165" s="841"/>
    </row>
    <row r="166" spans="1:5" ht="15" customHeight="1" thickBot="1">
      <c r="A166" s="833" t="s">
        <v>103</v>
      </c>
      <c r="B166" s="833"/>
      <c r="C166" s="99"/>
      <c r="E166" s="99" t="str">
        <f>E98</f>
        <v> Forintban!</v>
      </c>
    </row>
    <row r="167" spans="1:5" ht="25.5" customHeight="1" thickBot="1">
      <c r="A167" s="18">
        <v>1</v>
      </c>
      <c r="B167" s="22" t="s">
        <v>374</v>
      </c>
      <c r="C167" s="233">
        <f>+C70-C137</f>
        <v>-231034822</v>
      </c>
      <c r="D167" s="151">
        <f>+D70-D137</f>
        <v>-316712847</v>
      </c>
      <c r="E167" s="87">
        <f>+E70-E137</f>
        <v>-49999225</v>
      </c>
    </row>
    <row r="168" spans="1:5" ht="32.25" customHeight="1" thickBot="1">
      <c r="A168" s="18" t="s">
        <v>7</v>
      </c>
      <c r="B168" s="22" t="s">
        <v>380</v>
      </c>
      <c r="C168" s="151">
        <f>+C94-C162</f>
        <v>231034822</v>
      </c>
      <c r="D168" s="151">
        <f>+D94-D162</f>
        <v>316712847</v>
      </c>
      <c r="E168" s="87">
        <f>+E94-E162</f>
        <v>316712847</v>
      </c>
    </row>
  </sheetData>
  <sheetProtection/>
  <mergeCells count="16">
    <mergeCell ref="C99:E99"/>
    <mergeCell ref="A165:E165"/>
    <mergeCell ref="A6:E6"/>
    <mergeCell ref="A97:E97"/>
    <mergeCell ref="A7:B7"/>
    <mergeCell ref="A98:B98"/>
    <mergeCell ref="B1:E1"/>
    <mergeCell ref="A2:E2"/>
    <mergeCell ref="A3:E3"/>
    <mergeCell ref="A4:E4"/>
    <mergeCell ref="A166:B166"/>
    <mergeCell ref="A8:A9"/>
    <mergeCell ref="B8:B9"/>
    <mergeCell ref="C8:E8"/>
    <mergeCell ref="A99:A100"/>
    <mergeCell ref="B99:B100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60" r:id="rId1"/>
  <rowBreaks count="1" manualBreakCount="1">
    <brk id="9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8"/>
  <sheetViews>
    <sheetView view="pageBreakPreview" zoomScaleNormal="120" zoomScaleSheetLayoutView="100" workbookViewId="0" topLeftCell="A127">
      <selection activeCell="F117" sqref="F117"/>
    </sheetView>
  </sheetViews>
  <sheetFormatPr defaultColWidth="9.00390625" defaultRowHeight="12.75"/>
  <cols>
    <col min="1" max="1" width="9.50390625" style="139" customWidth="1"/>
    <col min="2" max="2" width="65.875" style="139" customWidth="1"/>
    <col min="3" max="3" width="17.875" style="140" customWidth="1"/>
    <col min="4" max="5" width="17.875" style="161" customWidth="1"/>
    <col min="6" max="16384" width="9.375" style="161" customWidth="1"/>
  </cols>
  <sheetData>
    <row r="1" spans="1:5" ht="15.75">
      <c r="A1" s="351"/>
      <c r="B1" s="828" t="str">
        <f>CONCATENATE("2. melléklet ",Z_ALAPADATOK!A7," ",Z_ALAPADATOK!B7," ",Z_ALAPADATOK!C7," ",Z_ALAPADATOK!D7," ",Z_ALAPADATOK!E7," ",Z_ALAPADATOK!F7," ",Z_ALAPADATOK!G7," ",Z_ALAPADATOK!H7)</f>
        <v>2. melléklet a 3 / 2022. ( V. 26. ) önkormányzati rendelethez</v>
      </c>
      <c r="C1" s="829"/>
      <c r="D1" s="829"/>
      <c r="E1" s="829"/>
    </row>
    <row r="2" spans="1:5" ht="15.75">
      <c r="A2" s="830" t="str">
        <f>CONCATENATE(Z_ALAPADATOK!A3)</f>
        <v>Balatonvilágos Község Önkormányzata</v>
      </c>
      <c r="B2" s="831"/>
      <c r="C2" s="831"/>
      <c r="D2" s="831"/>
      <c r="E2" s="831"/>
    </row>
    <row r="3" spans="1:5" ht="15.75">
      <c r="A3" s="830" t="s">
        <v>723</v>
      </c>
      <c r="B3" s="830"/>
      <c r="C3" s="832"/>
      <c r="D3" s="830"/>
      <c r="E3" s="830"/>
    </row>
    <row r="4" spans="1:5" ht="17.25" customHeight="1">
      <c r="A4" s="830" t="s">
        <v>613</v>
      </c>
      <c r="B4" s="830"/>
      <c r="C4" s="832"/>
      <c r="D4" s="830"/>
      <c r="E4" s="830"/>
    </row>
    <row r="5" spans="1:5" ht="15.75">
      <c r="A5" s="351"/>
      <c r="B5" s="351"/>
      <c r="C5" s="352"/>
      <c r="D5" s="353"/>
      <c r="E5" s="353"/>
    </row>
    <row r="6" spans="1:5" ht="15.75" customHeight="1">
      <c r="A6" s="842" t="s">
        <v>3</v>
      </c>
      <c r="B6" s="842"/>
      <c r="C6" s="842"/>
      <c r="D6" s="842"/>
      <c r="E6" s="842"/>
    </row>
    <row r="7" spans="1:5" ht="15.75" customHeight="1" thickBot="1">
      <c r="A7" s="844" t="s">
        <v>101</v>
      </c>
      <c r="B7" s="844"/>
      <c r="C7" s="354"/>
      <c r="D7" s="353"/>
      <c r="E7" s="354" t="str">
        <f>CONCATENATE(1!E7)</f>
        <v> Forintban!</v>
      </c>
    </row>
    <row r="8" spans="1:5" ht="15.75">
      <c r="A8" s="834" t="s">
        <v>51</v>
      </c>
      <c r="B8" s="836" t="s">
        <v>5</v>
      </c>
      <c r="C8" s="838" t="str">
        <f>+CONCATENATE(LEFT(Z_ÖSSZEFÜGGÉSEK!A6,4),". évi")</f>
        <v>2021. évi</v>
      </c>
      <c r="D8" s="839"/>
      <c r="E8" s="840"/>
    </row>
    <row r="9" spans="1:5" ht="24.75" thickBot="1">
      <c r="A9" s="835"/>
      <c r="B9" s="837"/>
      <c r="C9" s="231" t="s">
        <v>417</v>
      </c>
      <c r="D9" s="230" t="s">
        <v>418</v>
      </c>
      <c r="E9" s="340" t="str">
        <f>CONCATENATE(1!E9)</f>
        <v>2021. XII. 31.
teljesítés</v>
      </c>
    </row>
    <row r="10" spans="1:5" s="162" customFormat="1" ht="12" customHeight="1" thickBot="1">
      <c r="A10" s="158" t="s">
        <v>384</v>
      </c>
      <c r="B10" s="159" t="s">
        <v>385</v>
      </c>
      <c r="C10" s="159" t="s">
        <v>386</v>
      </c>
      <c r="D10" s="159" t="s">
        <v>388</v>
      </c>
      <c r="E10" s="232" t="s">
        <v>387</v>
      </c>
    </row>
    <row r="11" spans="1:5" s="163" customFormat="1" ht="12" customHeight="1" thickBot="1">
      <c r="A11" s="18" t="s">
        <v>6</v>
      </c>
      <c r="B11" s="19" t="s">
        <v>159</v>
      </c>
      <c r="C11" s="151">
        <f>+C12+C13+C14+C16+C17+C18+C15</f>
        <v>109423587</v>
      </c>
      <c r="D11" s="151">
        <f>+D12+D13+D14+D15+D16+D17+D18</f>
        <v>138642904</v>
      </c>
      <c r="E11" s="87">
        <f>+E12+E13+E14+E15+E16+E17+E18</f>
        <v>138642904</v>
      </c>
    </row>
    <row r="12" spans="1:5" s="163" customFormat="1" ht="12" customHeight="1">
      <c r="A12" s="13" t="s">
        <v>63</v>
      </c>
      <c r="B12" s="164" t="s">
        <v>160</v>
      </c>
      <c r="C12" s="582">
        <v>33220345</v>
      </c>
      <c r="D12" s="153">
        <v>33400297</v>
      </c>
      <c r="E12" s="89">
        <v>33400297</v>
      </c>
    </row>
    <row r="13" spans="1:5" s="163" customFormat="1" ht="12" customHeight="1">
      <c r="A13" s="12" t="s">
        <v>64</v>
      </c>
      <c r="B13" s="165" t="s">
        <v>161</v>
      </c>
      <c r="C13" s="581">
        <v>40685820</v>
      </c>
      <c r="D13" s="152">
        <v>40132170</v>
      </c>
      <c r="E13" s="88">
        <v>40132170</v>
      </c>
    </row>
    <row r="14" spans="1:5" s="163" customFormat="1" ht="12" customHeight="1">
      <c r="A14" s="12" t="s">
        <v>65</v>
      </c>
      <c r="B14" s="165" t="s">
        <v>162</v>
      </c>
      <c r="C14" s="581">
        <v>9485920</v>
      </c>
      <c r="D14" s="152">
        <v>10036407</v>
      </c>
      <c r="E14" s="88">
        <v>10036407</v>
      </c>
    </row>
    <row r="15" spans="1:5" s="163" customFormat="1" ht="12" customHeight="1">
      <c r="A15" s="12" t="s">
        <v>66</v>
      </c>
      <c r="B15" s="673" t="s">
        <v>623</v>
      </c>
      <c r="C15" s="581">
        <v>22826412</v>
      </c>
      <c r="D15" s="152">
        <v>27358771</v>
      </c>
      <c r="E15" s="88">
        <v>27358771</v>
      </c>
    </row>
    <row r="16" spans="1:5" s="163" customFormat="1" ht="12" customHeight="1">
      <c r="A16" s="12" t="s">
        <v>98</v>
      </c>
      <c r="B16" s="165" t="s">
        <v>163</v>
      </c>
      <c r="C16" s="581">
        <v>3205090</v>
      </c>
      <c r="D16" s="152">
        <v>3258262</v>
      </c>
      <c r="E16" s="88">
        <v>3258262</v>
      </c>
    </row>
    <row r="17" spans="1:5" s="163" customFormat="1" ht="12" customHeight="1">
      <c r="A17" s="14" t="s">
        <v>67</v>
      </c>
      <c r="B17" s="95" t="s">
        <v>332</v>
      </c>
      <c r="C17" s="152"/>
      <c r="D17" s="152">
        <v>23704197</v>
      </c>
      <c r="E17" s="88">
        <v>23704197</v>
      </c>
    </row>
    <row r="18" spans="1:5" s="163" customFormat="1" ht="12" customHeight="1" thickBot="1">
      <c r="A18" s="14" t="s">
        <v>68</v>
      </c>
      <c r="B18" s="96" t="s">
        <v>333</v>
      </c>
      <c r="C18" s="152"/>
      <c r="D18" s="152">
        <v>752800</v>
      </c>
      <c r="E18" s="88">
        <v>752800</v>
      </c>
    </row>
    <row r="19" spans="1:5" s="163" customFormat="1" ht="12" customHeight="1" thickBot="1">
      <c r="A19" s="18" t="s">
        <v>7</v>
      </c>
      <c r="B19" s="94" t="s">
        <v>164</v>
      </c>
      <c r="C19" s="151">
        <f>+C20+C21+C22+C23+C24</f>
        <v>18977700</v>
      </c>
      <c r="D19" s="151">
        <f>+D20+D21+D22+D23+D24</f>
        <v>29061506</v>
      </c>
      <c r="E19" s="87">
        <f>+E20+E21+E22+E23+E24</f>
        <v>28876906</v>
      </c>
    </row>
    <row r="20" spans="1:5" s="163" customFormat="1" ht="12" customHeight="1">
      <c r="A20" s="13" t="s">
        <v>69</v>
      </c>
      <c r="B20" s="164" t="s">
        <v>165</v>
      </c>
      <c r="C20" s="153"/>
      <c r="D20" s="153"/>
      <c r="E20" s="89"/>
    </row>
    <row r="21" spans="1:5" s="163" customFormat="1" ht="12" customHeight="1">
      <c r="A21" s="12" t="s">
        <v>70</v>
      </c>
      <c r="B21" s="165" t="s">
        <v>166</v>
      </c>
      <c r="C21" s="152"/>
      <c r="D21" s="152"/>
      <c r="E21" s="88"/>
    </row>
    <row r="22" spans="1:5" s="163" customFormat="1" ht="12" customHeight="1">
      <c r="A22" s="12" t="s">
        <v>71</v>
      </c>
      <c r="B22" s="165" t="s">
        <v>324</v>
      </c>
      <c r="C22" s="152"/>
      <c r="D22" s="152"/>
      <c r="E22" s="88"/>
    </row>
    <row r="23" spans="1:5" s="163" customFormat="1" ht="12" customHeight="1">
      <c r="A23" s="12" t="s">
        <v>72</v>
      </c>
      <c r="B23" s="165" t="s">
        <v>325</v>
      </c>
      <c r="C23" s="152"/>
      <c r="D23" s="152"/>
      <c r="E23" s="88"/>
    </row>
    <row r="24" spans="1:5" s="163" customFormat="1" ht="12" customHeight="1">
      <c r="A24" s="12" t="s">
        <v>73</v>
      </c>
      <c r="B24" s="165" t="s">
        <v>167</v>
      </c>
      <c r="C24" s="152">
        <v>18977700</v>
      </c>
      <c r="D24" s="152">
        <v>29061506</v>
      </c>
      <c r="E24" s="88">
        <v>28876906</v>
      </c>
    </row>
    <row r="25" spans="1:5" s="163" customFormat="1" ht="12" customHeight="1" thickBot="1">
      <c r="A25" s="14" t="s">
        <v>80</v>
      </c>
      <c r="B25" s="96" t="s">
        <v>168</v>
      </c>
      <c r="C25" s="154"/>
      <c r="D25" s="154"/>
      <c r="E25" s="90"/>
    </row>
    <row r="26" spans="1:5" s="163" customFormat="1" ht="12" customHeight="1" thickBot="1">
      <c r="A26" s="18" t="s">
        <v>8</v>
      </c>
      <c r="B26" s="19" t="s">
        <v>169</v>
      </c>
      <c r="C26" s="151">
        <f>+C27+C28+C29+C30+C31</f>
        <v>0</v>
      </c>
      <c r="D26" s="151">
        <f>+D27+D28+D29+D30+D31</f>
        <v>50735946</v>
      </c>
      <c r="E26" s="87">
        <f>+E27+E28+E29+E30+E31</f>
        <v>50735946</v>
      </c>
    </row>
    <row r="27" spans="1:5" s="163" customFormat="1" ht="12" customHeight="1">
      <c r="A27" s="13" t="s">
        <v>52</v>
      </c>
      <c r="B27" s="164" t="s">
        <v>170</v>
      </c>
      <c r="C27" s="153"/>
      <c r="D27" s="153">
        <v>50735946</v>
      </c>
      <c r="E27" s="89">
        <v>50735946</v>
      </c>
    </row>
    <row r="28" spans="1:5" s="163" customFormat="1" ht="12" customHeight="1">
      <c r="A28" s="12" t="s">
        <v>53</v>
      </c>
      <c r="B28" s="165" t="s">
        <v>171</v>
      </c>
      <c r="C28" s="152"/>
      <c r="D28" s="152"/>
      <c r="E28" s="88"/>
    </row>
    <row r="29" spans="1:5" s="163" customFormat="1" ht="12" customHeight="1">
      <c r="A29" s="12" t="s">
        <v>54</v>
      </c>
      <c r="B29" s="165" t="s">
        <v>326</v>
      </c>
      <c r="C29" s="152"/>
      <c r="D29" s="152"/>
      <c r="E29" s="88"/>
    </row>
    <row r="30" spans="1:5" s="163" customFormat="1" ht="12" customHeight="1">
      <c r="A30" s="12" t="s">
        <v>55</v>
      </c>
      <c r="B30" s="165" t="s">
        <v>327</v>
      </c>
      <c r="C30" s="152"/>
      <c r="D30" s="152"/>
      <c r="E30" s="88"/>
    </row>
    <row r="31" spans="1:5" s="163" customFormat="1" ht="12" customHeight="1">
      <c r="A31" s="12" t="s">
        <v>111</v>
      </c>
      <c r="B31" s="165" t="s">
        <v>172</v>
      </c>
      <c r="C31" s="152"/>
      <c r="D31" s="152"/>
      <c r="E31" s="88"/>
    </row>
    <row r="32" spans="1:5" s="163" customFormat="1" ht="12" customHeight="1" thickBot="1">
      <c r="A32" s="14" t="s">
        <v>112</v>
      </c>
      <c r="B32" s="166" t="s">
        <v>173</v>
      </c>
      <c r="C32" s="154"/>
      <c r="D32" s="154"/>
      <c r="E32" s="90"/>
    </row>
    <row r="33" spans="1:5" s="163" customFormat="1" ht="12" customHeight="1" thickBot="1">
      <c r="A33" s="18" t="s">
        <v>113</v>
      </c>
      <c r="B33" s="19" t="s">
        <v>478</v>
      </c>
      <c r="C33" s="157">
        <f>+C34+C36+C37+C38+C39+C40+C41+C35</f>
        <v>177300000</v>
      </c>
      <c r="D33" s="157">
        <f>SUM(D34:D41)</f>
        <v>203416565</v>
      </c>
      <c r="E33" s="193">
        <f>SUM(E34:E41)</f>
        <v>202623772</v>
      </c>
    </row>
    <row r="34" spans="1:5" s="163" customFormat="1" ht="12" customHeight="1">
      <c r="A34" s="13" t="s">
        <v>174</v>
      </c>
      <c r="B34" s="164" t="s">
        <v>479</v>
      </c>
      <c r="C34" s="714">
        <v>135000000</v>
      </c>
      <c r="D34" s="153">
        <v>135000000</v>
      </c>
      <c r="E34" s="89">
        <v>133908220</v>
      </c>
    </row>
    <row r="35" spans="1:5" s="163" customFormat="1" ht="12" customHeight="1">
      <c r="A35" s="12" t="s">
        <v>175</v>
      </c>
      <c r="B35" s="164" t="s">
        <v>769</v>
      </c>
      <c r="C35" s="714">
        <v>6500000</v>
      </c>
      <c r="D35" s="152">
        <v>6500000</v>
      </c>
      <c r="E35" s="88">
        <v>6818987</v>
      </c>
    </row>
    <row r="36" spans="1:5" s="163" customFormat="1" ht="12" customHeight="1">
      <c r="A36" s="12" t="s">
        <v>176</v>
      </c>
      <c r="B36" s="165" t="s">
        <v>480</v>
      </c>
      <c r="C36" s="581"/>
      <c r="D36" s="152">
        <v>14218800</v>
      </c>
      <c r="E36" s="88">
        <v>14218800</v>
      </c>
    </row>
    <row r="37" spans="1:5" s="163" customFormat="1" ht="12" customHeight="1">
      <c r="A37" s="12" t="s">
        <v>177</v>
      </c>
      <c r="B37" s="165" t="s">
        <v>481</v>
      </c>
      <c r="C37" s="581">
        <v>35000000</v>
      </c>
      <c r="D37" s="152">
        <v>44694154</v>
      </c>
      <c r="E37" s="88">
        <v>44694154</v>
      </c>
    </row>
    <row r="38" spans="1:5" s="163" customFormat="1" ht="12" customHeight="1">
      <c r="A38" s="12" t="s">
        <v>483</v>
      </c>
      <c r="B38" s="165" t="s">
        <v>770</v>
      </c>
      <c r="C38" s="581">
        <v>650000</v>
      </c>
      <c r="D38" s="152">
        <v>943108</v>
      </c>
      <c r="E38" s="88">
        <v>943108</v>
      </c>
    </row>
    <row r="39" spans="1:5" s="163" customFormat="1" ht="12" customHeight="1">
      <c r="A39" s="12" t="s">
        <v>484</v>
      </c>
      <c r="B39" s="165" t="s">
        <v>178</v>
      </c>
      <c r="C39" s="581"/>
      <c r="D39" s="152">
        <v>345180</v>
      </c>
      <c r="E39" s="88">
        <v>348180</v>
      </c>
    </row>
    <row r="40" spans="1:5" s="163" customFormat="1" ht="12" customHeight="1">
      <c r="A40" s="12" t="s">
        <v>485</v>
      </c>
      <c r="B40" s="165" t="s">
        <v>771</v>
      </c>
      <c r="C40" s="581">
        <v>150000</v>
      </c>
      <c r="D40" s="152">
        <v>150000</v>
      </c>
      <c r="E40" s="88">
        <v>130000</v>
      </c>
    </row>
    <row r="41" spans="1:5" s="163" customFormat="1" ht="12" customHeight="1" thickBot="1">
      <c r="A41" s="12" t="s">
        <v>772</v>
      </c>
      <c r="B41" s="310" t="s">
        <v>180</v>
      </c>
      <c r="C41" s="154"/>
      <c r="D41" s="154">
        <v>1565323</v>
      </c>
      <c r="E41" s="90">
        <v>1562323</v>
      </c>
    </row>
    <row r="42" spans="1:5" s="163" customFormat="1" ht="12" customHeight="1" thickBot="1">
      <c r="A42" s="18" t="s">
        <v>10</v>
      </c>
      <c r="B42" s="19" t="s">
        <v>334</v>
      </c>
      <c r="C42" s="151">
        <f>SUM(C43:C53)</f>
        <v>45692387</v>
      </c>
      <c r="D42" s="151">
        <f>SUM(D43:D53)</f>
        <v>59630197</v>
      </c>
      <c r="E42" s="87">
        <f>SUM(E43:E53)</f>
        <v>56377859</v>
      </c>
    </row>
    <row r="43" spans="1:5" s="163" customFormat="1" ht="12" customHeight="1">
      <c r="A43" s="13" t="s">
        <v>56</v>
      </c>
      <c r="B43" s="164" t="s">
        <v>183</v>
      </c>
      <c r="C43" s="153"/>
      <c r="D43" s="153"/>
      <c r="E43" s="89"/>
    </row>
    <row r="44" spans="1:5" s="163" customFormat="1" ht="12" customHeight="1">
      <c r="A44" s="12" t="s">
        <v>57</v>
      </c>
      <c r="B44" s="165" t="s">
        <v>184</v>
      </c>
      <c r="C44" s="581">
        <v>21399159</v>
      </c>
      <c r="D44" s="152">
        <v>21399159</v>
      </c>
      <c r="E44" s="88">
        <v>21348585</v>
      </c>
    </row>
    <row r="45" spans="1:5" s="163" customFormat="1" ht="12" customHeight="1">
      <c r="A45" s="12" t="s">
        <v>58</v>
      </c>
      <c r="B45" s="165" t="s">
        <v>185</v>
      </c>
      <c r="C45" s="581">
        <v>3941940</v>
      </c>
      <c r="D45" s="152">
        <v>4056378</v>
      </c>
      <c r="E45" s="88">
        <v>3541312</v>
      </c>
    </row>
    <row r="46" spans="1:5" s="163" customFormat="1" ht="12" customHeight="1">
      <c r="A46" s="12" t="s">
        <v>115</v>
      </c>
      <c r="B46" s="165" t="s">
        <v>186</v>
      </c>
      <c r="C46" s="581"/>
      <c r="D46" s="152">
        <v>1070817</v>
      </c>
      <c r="E46" s="88">
        <v>1070817</v>
      </c>
    </row>
    <row r="47" spans="1:5" s="163" customFormat="1" ht="12" customHeight="1">
      <c r="A47" s="12" t="s">
        <v>116</v>
      </c>
      <c r="B47" s="165" t="s">
        <v>187</v>
      </c>
      <c r="C47" s="581">
        <v>8099425</v>
      </c>
      <c r="D47" s="152">
        <v>8099425</v>
      </c>
      <c r="E47" s="88">
        <v>6060793</v>
      </c>
    </row>
    <row r="48" spans="1:5" s="163" customFormat="1" ht="12" customHeight="1">
      <c r="A48" s="12" t="s">
        <v>117</v>
      </c>
      <c r="B48" s="165" t="s">
        <v>188</v>
      </c>
      <c r="C48" s="581">
        <v>12201863</v>
      </c>
      <c r="D48" s="152">
        <v>14178894</v>
      </c>
      <c r="E48" s="88">
        <v>13473720</v>
      </c>
    </row>
    <row r="49" spans="1:5" s="163" customFormat="1" ht="12" customHeight="1">
      <c r="A49" s="12" t="s">
        <v>118</v>
      </c>
      <c r="B49" s="165" t="s">
        <v>189</v>
      </c>
      <c r="C49" s="581"/>
      <c r="D49" s="152"/>
      <c r="E49" s="88"/>
    </row>
    <row r="50" spans="1:5" s="163" customFormat="1" ht="12" customHeight="1">
      <c r="A50" s="12" t="s">
        <v>119</v>
      </c>
      <c r="B50" s="165" t="s">
        <v>486</v>
      </c>
      <c r="C50" s="581">
        <v>50000</v>
      </c>
      <c r="D50" s="152">
        <v>10722470</v>
      </c>
      <c r="E50" s="88">
        <v>10672761</v>
      </c>
    </row>
    <row r="51" spans="1:5" s="163" customFormat="1" ht="12" customHeight="1">
      <c r="A51" s="12" t="s">
        <v>181</v>
      </c>
      <c r="B51" s="165" t="s">
        <v>191</v>
      </c>
      <c r="C51" s="155"/>
      <c r="D51" s="155">
        <v>6251</v>
      </c>
      <c r="E51" s="91">
        <v>6251</v>
      </c>
    </row>
    <row r="52" spans="1:5" s="163" customFormat="1" ht="12" customHeight="1">
      <c r="A52" s="14" t="s">
        <v>182</v>
      </c>
      <c r="B52" s="166" t="s">
        <v>336</v>
      </c>
      <c r="C52" s="156"/>
      <c r="D52" s="156"/>
      <c r="E52" s="92"/>
    </row>
    <row r="53" spans="1:5" s="163" customFormat="1" ht="12" customHeight="1" thickBot="1">
      <c r="A53" s="14" t="s">
        <v>335</v>
      </c>
      <c r="B53" s="96" t="s">
        <v>192</v>
      </c>
      <c r="C53" s="356"/>
      <c r="D53" s="156">
        <v>96803</v>
      </c>
      <c r="E53" s="92">
        <v>203620</v>
      </c>
    </row>
    <row r="54" spans="1:5" s="163" customFormat="1" ht="12" customHeight="1" thickBot="1">
      <c r="A54" s="18" t="s">
        <v>11</v>
      </c>
      <c r="B54" s="19" t="s">
        <v>193</v>
      </c>
      <c r="C54" s="151">
        <f>SUM(C55:C59)</f>
        <v>0</v>
      </c>
      <c r="D54" s="151">
        <f>SUM(D55:D59)</f>
        <v>0</v>
      </c>
      <c r="E54" s="87">
        <f>SUM(E55:E59)</f>
        <v>0</v>
      </c>
    </row>
    <row r="55" spans="1:5" s="163" customFormat="1" ht="12" customHeight="1">
      <c r="A55" s="13" t="s">
        <v>59</v>
      </c>
      <c r="B55" s="164" t="s">
        <v>197</v>
      </c>
      <c r="C55" s="204"/>
      <c r="D55" s="204"/>
      <c r="E55" s="93"/>
    </row>
    <row r="56" spans="1:5" s="163" customFormat="1" ht="12" customHeight="1">
      <c r="A56" s="12" t="s">
        <v>60</v>
      </c>
      <c r="B56" s="165" t="s">
        <v>198</v>
      </c>
      <c r="C56" s="155"/>
      <c r="D56" s="155"/>
      <c r="E56" s="91">
        <v>0</v>
      </c>
    </row>
    <row r="57" spans="1:5" s="163" customFormat="1" ht="12" customHeight="1">
      <c r="A57" s="12" t="s">
        <v>194</v>
      </c>
      <c r="B57" s="165" t="s">
        <v>199</v>
      </c>
      <c r="C57" s="155"/>
      <c r="D57" s="155"/>
      <c r="E57" s="91"/>
    </row>
    <row r="58" spans="1:5" s="163" customFormat="1" ht="12" customHeight="1">
      <c r="A58" s="12" t="s">
        <v>195</v>
      </c>
      <c r="B58" s="165" t="s">
        <v>200</v>
      </c>
      <c r="C58" s="155"/>
      <c r="D58" s="155"/>
      <c r="E58" s="91"/>
    </row>
    <row r="59" spans="1:5" s="163" customFormat="1" ht="12" customHeight="1" thickBot="1">
      <c r="A59" s="14" t="s">
        <v>196</v>
      </c>
      <c r="B59" s="96" t="s">
        <v>201</v>
      </c>
      <c r="C59" s="156"/>
      <c r="D59" s="156"/>
      <c r="E59" s="92"/>
    </row>
    <row r="60" spans="1:5" s="163" customFormat="1" ht="12" customHeight="1" thickBot="1">
      <c r="A60" s="18" t="s">
        <v>120</v>
      </c>
      <c r="B60" s="19" t="s">
        <v>202</v>
      </c>
      <c r="C60" s="151">
        <f>SUM(C61:C63)</f>
        <v>0</v>
      </c>
      <c r="D60" s="151">
        <f>SUM(D61:D63)</f>
        <v>0</v>
      </c>
      <c r="E60" s="87">
        <f>SUM(E61:E63)</f>
        <v>0</v>
      </c>
    </row>
    <row r="61" spans="1:5" s="163" customFormat="1" ht="12" customHeight="1">
      <c r="A61" s="13" t="s">
        <v>61</v>
      </c>
      <c r="B61" s="164" t="s">
        <v>203</v>
      </c>
      <c r="C61" s="153"/>
      <c r="D61" s="153"/>
      <c r="E61" s="89"/>
    </row>
    <row r="62" spans="1:5" s="163" customFormat="1" ht="12" customHeight="1">
      <c r="A62" s="12" t="s">
        <v>62</v>
      </c>
      <c r="B62" s="165" t="s">
        <v>328</v>
      </c>
      <c r="C62" s="152"/>
      <c r="D62" s="152"/>
      <c r="E62" s="88"/>
    </row>
    <row r="63" spans="1:5" s="163" customFormat="1" ht="12" customHeight="1">
      <c r="A63" s="12" t="s">
        <v>206</v>
      </c>
      <c r="B63" s="165" t="s">
        <v>204</v>
      </c>
      <c r="C63" s="152"/>
      <c r="D63" s="152"/>
      <c r="E63" s="88"/>
    </row>
    <row r="64" spans="1:5" s="163" customFormat="1" ht="12" customHeight="1" thickBot="1">
      <c r="A64" s="14" t="s">
        <v>207</v>
      </c>
      <c r="B64" s="96" t="s">
        <v>205</v>
      </c>
      <c r="C64" s="154"/>
      <c r="D64" s="154"/>
      <c r="E64" s="90"/>
    </row>
    <row r="65" spans="1:5" s="163" customFormat="1" ht="12" customHeight="1" thickBot="1">
      <c r="A65" s="18" t="s">
        <v>13</v>
      </c>
      <c r="B65" s="94" t="s">
        <v>208</v>
      </c>
      <c r="C65" s="151">
        <f>SUM(C66:C68)</f>
        <v>792559</v>
      </c>
      <c r="D65" s="151">
        <f>SUM(D66:D68)</f>
        <v>16469014</v>
      </c>
      <c r="E65" s="87">
        <f>SUM(E66:E68)</f>
        <v>16278514</v>
      </c>
    </row>
    <row r="66" spans="1:5" s="163" customFormat="1" ht="12" customHeight="1">
      <c r="A66" s="13" t="s">
        <v>121</v>
      </c>
      <c r="B66" s="164" t="s">
        <v>210</v>
      </c>
      <c r="C66" s="155"/>
      <c r="D66" s="155"/>
      <c r="E66" s="91"/>
    </row>
    <row r="67" spans="1:5" s="163" customFormat="1" ht="12" customHeight="1">
      <c r="A67" s="12" t="s">
        <v>122</v>
      </c>
      <c r="B67" s="165" t="s">
        <v>329</v>
      </c>
      <c r="C67" s="155">
        <v>792559</v>
      </c>
      <c r="D67" s="155">
        <v>15969014</v>
      </c>
      <c r="E67" s="91">
        <v>15778514</v>
      </c>
    </row>
    <row r="68" spans="1:5" s="163" customFormat="1" ht="12" customHeight="1">
      <c r="A68" s="12" t="s">
        <v>141</v>
      </c>
      <c r="B68" s="165" t="s">
        <v>211</v>
      </c>
      <c r="C68" s="155"/>
      <c r="D68" s="155">
        <v>500000</v>
      </c>
      <c r="E68" s="91">
        <v>500000</v>
      </c>
    </row>
    <row r="69" spans="1:5" s="163" customFormat="1" ht="12" customHeight="1" thickBot="1">
      <c r="A69" s="14" t="s">
        <v>209</v>
      </c>
      <c r="B69" s="96" t="s">
        <v>212</v>
      </c>
      <c r="C69" s="155"/>
      <c r="D69" s="155"/>
      <c r="E69" s="91"/>
    </row>
    <row r="70" spans="1:5" s="163" customFormat="1" ht="12" customHeight="1" thickBot="1">
      <c r="A70" s="214" t="s">
        <v>376</v>
      </c>
      <c r="B70" s="19" t="s">
        <v>213</v>
      </c>
      <c r="C70" s="157">
        <f>+C11+C19+C26+C33+C42+C54+C60+C65</f>
        <v>352186233</v>
      </c>
      <c r="D70" s="157">
        <f>+D11+D19+D26+D33+D42+D54+D60+D65</f>
        <v>497956132</v>
      </c>
      <c r="E70" s="193">
        <f>+E11+E19+E26+E33+E42+E54+E60+E65</f>
        <v>493535901</v>
      </c>
    </row>
    <row r="71" spans="1:5" s="163" customFormat="1" ht="12" customHeight="1" thickBot="1">
      <c r="A71" s="205" t="s">
        <v>214</v>
      </c>
      <c r="B71" s="94" t="s">
        <v>215</v>
      </c>
      <c r="C71" s="151">
        <f>SUM(C72:C74)</f>
        <v>0</v>
      </c>
      <c r="D71" s="151">
        <f>SUM(D72:D74)</f>
        <v>0</v>
      </c>
      <c r="E71" s="87">
        <f>SUM(E72:E74)</f>
        <v>0</v>
      </c>
    </row>
    <row r="72" spans="1:5" s="163" customFormat="1" ht="12" customHeight="1">
      <c r="A72" s="13" t="s">
        <v>243</v>
      </c>
      <c r="B72" s="164" t="s">
        <v>216</v>
      </c>
      <c r="C72" s="155"/>
      <c r="D72" s="155"/>
      <c r="E72" s="91"/>
    </row>
    <row r="73" spans="1:5" s="163" customFormat="1" ht="12" customHeight="1">
      <c r="A73" s="12" t="s">
        <v>252</v>
      </c>
      <c r="B73" s="165" t="s">
        <v>217</v>
      </c>
      <c r="C73" s="155"/>
      <c r="D73" s="155"/>
      <c r="E73" s="91"/>
    </row>
    <row r="74" spans="1:5" s="163" customFormat="1" ht="12" customHeight="1" thickBot="1">
      <c r="A74" s="14" t="s">
        <v>253</v>
      </c>
      <c r="B74" s="210" t="s">
        <v>361</v>
      </c>
      <c r="C74" s="356"/>
      <c r="D74" s="155"/>
      <c r="E74" s="91"/>
    </row>
    <row r="75" spans="1:5" s="163" customFormat="1" ht="12" customHeight="1" thickBot="1">
      <c r="A75" s="205" t="s">
        <v>219</v>
      </c>
      <c r="B75" s="94" t="s">
        <v>220</v>
      </c>
      <c r="C75" s="151">
        <f>SUM(C76:C79)</f>
        <v>0</v>
      </c>
      <c r="D75" s="151">
        <f>SUM(D76:D79)</f>
        <v>0</v>
      </c>
      <c r="E75" s="87">
        <f>SUM(E76:E79)</f>
        <v>0</v>
      </c>
    </row>
    <row r="76" spans="1:5" s="163" customFormat="1" ht="12" customHeight="1">
      <c r="A76" s="13" t="s">
        <v>99</v>
      </c>
      <c r="B76" s="338" t="s">
        <v>221</v>
      </c>
      <c r="C76" s="155"/>
      <c r="D76" s="155"/>
      <c r="E76" s="91"/>
    </row>
    <row r="77" spans="1:5" s="163" customFormat="1" ht="12" customHeight="1">
      <c r="A77" s="12" t="s">
        <v>100</v>
      </c>
      <c r="B77" s="338" t="s">
        <v>493</v>
      </c>
      <c r="C77" s="155"/>
      <c r="D77" s="155"/>
      <c r="E77" s="91"/>
    </row>
    <row r="78" spans="1:5" s="163" customFormat="1" ht="12" customHeight="1">
      <c r="A78" s="12" t="s">
        <v>244</v>
      </c>
      <c r="B78" s="338" t="s">
        <v>222</v>
      </c>
      <c r="C78" s="155"/>
      <c r="D78" s="155"/>
      <c r="E78" s="91"/>
    </row>
    <row r="79" spans="1:5" s="163" customFormat="1" ht="12" customHeight="1" thickBot="1">
      <c r="A79" s="14" t="s">
        <v>245</v>
      </c>
      <c r="B79" s="339" t="s">
        <v>494</v>
      </c>
      <c r="C79" s="155"/>
      <c r="D79" s="155"/>
      <c r="E79" s="91"/>
    </row>
    <row r="80" spans="1:5" s="163" customFormat="1" ht="12" customHeight="1" thickBot="1">
      <c r="A80" s="205" t="s">
        <v>223</v>
      </c>
      <c r="B80" s="94" t="s">
        <v>224</v>
      </c>
      <c r="C80" s="151">
        <f>SUM(C81:C82)</f>
        <v>235411766</v>
      </c>
      <c r="D80" s="151">
        <f>SUM(D81:D82)</f>
        <v>316649437</v>
      </c>
      <c r="E80" s="87">
        <f>SUM(E81:E82)</f>
        <v>316649437</v>
      </c>
    </row>
    <row r="81" spans="1:5" s="163" customFormat="1" ht="12" customHeight="1">
      <c r="A81" s="13" t="s">
        <v>246</v>
      </c>
      <c r="B81" s="164" t="s">
        <v>225</v>
      </c>
      <c r="C81" s="155">
        <v>235411766</v>
      </c>
      <c r="D81" s="155">
        <v>316649437</v>
      </c>
      <c r="E81" s="91">
        <v>316649437</v>
      </c>
    </row>
    <row r="82" spans="1:5" s="163" customFormat="1" ht="12" customHeight="1" thickBot="1">
      <c r="A82" s="14" t="s">
        <v>247</v>
      </c>
      <c r="B82" s="96" t="s">
        <v>226</v>
      </c>
      <c r="C82" s="155"/>
      <c r="D82" s="155"/>
      <c r="E82" s="91"/>
    </row>
    <row r="83" spans="1:5" s="163" customFormat="1" ht="12" customHeight="1" thickBot="1">
      <c r="A83" s="205" t="s">
        <v>227</v>
      </c>
      <c r="B83" s="94" t="s">
        <v>228</v>
      </c>
      <c r="C83" s="151">
        <f>SUM(C84:C86)</f>
        <v>0</v>
      </c>
      <c r="D83" s="151">
        <f>SUM(D84:D86)</f>
        <v>4440354</v>
      </c>
      <c r="E83" s="87">
        <f>SUM(E84:E86)</f>
        <v>4440354</v>
      </c>
    </row>
    <row r="84" spans="1:5" s="163" customFormat="1" ht="12" customHeight="1">
      <c r="A84" s="13" t="s">
        <v>248</v>
      </c>
      <c r="B84" s="164" t="s">
        <v>229</v>
      </c>
      <c r="C84" s="155"/>
      <c r="D84" s="155">
        <v>4440354</v>
      </c>
      <c r="E84" s="91">
        <v>4440354</v>
      </c>
    </row>
    <row r="85" spans="1:5" s="163" customFormat="1" ht="12" customHeight="1">
      <c r="A85" s="12" t="s">
        <v>249</v>
      </c>
      <c r="B85" s="165" t="s">
        <v>230</v>
      </c>
      <c r="C85" s="155"/>
      <c r="D85" s="155"/>
      <c r="E85" s="91"/>
    </row>
    <row r="86" spans="1:5" s="163" customFormat="1" ht="12" customHeight="1" thickBot="1">
      <c r="A86" s="14" t="s">
        <v>250</v>
      </c>
      <c r="B86" s="96" t="s">
        <v>495</v>
      </c>
      <c r="C86" s="155"/>
      <c r="D86" s="155"/>
      <c r="E86" s="91"/>
    </row>
    <row r="87" spans="1:5" s="163" customFormat="1" ht="12" customHeight="1" thickBot="1">
      <c r="A87" s="205" t="s">
        <v>231</v>
      </c>
      <c r="B87" s="94" t="s">
        <v>251</v>
      </c>
      <c r="C87" s="151">
        <f>SUM(C88:C91)</f>
        <v>0</v>
      </c>
      <c r="D87" s="151">
        <f>SUM(D88:D91)</f>
        <v>0</v>
      </c>
      <c r="E87" s="87">
        <f>SUM(E88:E91)</f>
        <v>0</v>
      </c>
    </row>
    <row r="88" spans="1:5" s="163" customFormat="1" ht="12" customHeight="1">
      <c r="A88" s="168" t="s">
        <v>232</v>
      </c>
      <c r="B88" s="164" t="s">
        <v>233</v>
      </c>
      <c r="C88" s="155"/>
      <c r="D88" s="155"/>
      <c r="E88" s="91"/>
    </row>
    <row r="89" spans="1:5" s="163" customFormat="1" ht="12" customHeight="1">
      <c r="A89" s="169" t="s">
        <v>234</v>
      </c>
      <c r="B89" s="165" t="s">
        <v>235</v>
      </c>
      <c r="C89" s="155"/>
      <c r="D89" s="155"/>
      <c r="E89" s="91"/>
    </row>
    <row r="90" spans="1:5" s="163" customFormat="1" ht="12" customHeight="1">
      <c r="A90" s="169" t="s">
        <v>236</v>
      </c>
      <c r="B90" s="165" t="s">
        <v>237</v>
      </c>
      <c r="C90" s="155"/>
      <c r="D90" s="155"/>
      <c r="E90" s="91"/>
    </row>
    <row r="91" spans="1:5" s="163" customFormat="1" ht="12" customHeight="1" thickBot="1">
      <c r="A91" s="170" t="s">
        <v>238</v>
      </c>
      <c r="B91" s="96" t="s">
        <v>239</v>
      </c>
      <c r="C91" s="155"/>
      <c r="D91" s="155"/>
      <c r="E91" s="91"/>
    </row>
    <row r="92" spans="1:5" s="163" customFormat="1" ht="12" customHeight="1" thickBot="1">
      <c r="A92" s="205" t="s">
        <v>240</v>
      </c>
      <c r="B92" s="94" t="s">
        <v>375</v>
      </c>
      <c r="C92" s="207"/>
      <c r="D92" s="207"/>
      <c r="E92" s="208"/>
    </row>
    <row r="93" spans="1:5" s="163" customFormat="1" ht="13.5" customHeight="1" thickBot="1">
      <c r="A93" s="205" t="s">
        <v>242</v>
      </c>
      <c r="B93" s="94" t="s">
        <v>241</v>
      </c>
      <c r="C93" s="207"/>
      <c r="D93" s="207"/>
      <c r="E93" s="208"/>
    </row>
    <row r="94" spans="1:5" s="163" customFormat="1" ht="15.75" customHeight="1" thickBot="1">
      <c r="A94" s="205" t="s">
        <v>254</v>
      </c>
      <c r="B94" s="171" t="s">
        <v>378</v>
      </c>
      <c r="C94" s="157">
        <f>+C71+C75+C80+C83+C87+C93+C92</f>
        <v>235411766</v>
      </c>
      <c r="D94" s="157">
        <f>+D71+D75+D80+D83+D87+D93+D92</f>
        <v>321089791</v>
      </c>
      <c r="E94" s="193">
        <f>+E71+E75+E80+E83+E87+E93+E92</f>
        <v>321089791</v>
      </c>
    </row>
    <row r="95" spans="1:5" s="163" customFormat="1" ht="25.5" customHeight="1" thickBot="1">
      <c r="A95" s="206" t="s">
        <v>377</v>
      </c>
      <c r="B95" s="172" t="s">
        <v>379</v>
      </c>
      <c r="C95" s="157">
        <f>+C70+C94</f>
        <v>587597999</v>
      </c>
      <c r="D95" s="157">
        <f>+D70+D94</f>
        <v>819045923</v>
      </c>
      <c r="E95" s="193">
        <f>+E70+E94</f>
        <v>814625692</v>
      </c>
    </row>
    <row r="96" spans="1:3" s="163" customFormat="1" ht="15" customHeight="1">
      <c r="A96" s="3"/>
      <c r="B96" s="4"/>
      <c r="C96" s="98"/>
    </row>
    <row r="97" spans="1:5" ht="16.5" customHeight="1">
      <c r="A97" s="843" t="s">
        <v>34</v>
      </c>
      <c r="B97" s="843"/>
      <c r="C97" s="843"/>
      <c r="D97" s="843"/>
      <c r="E97" s="843"/>
    </row>
    <row r="98" spans="1:5" s="173" customFormat="1" ht="16.5" customHeight="1" thickBot="1">
      <c r="A98" s="845" t="s">
        <v>102</v>
      </c>
      <c r="B98" s="845"/>
      <c r="C98" s="55"/>
      <c r="E98" s="55" t="str">
        <f>E7</f>
        <v> Forintban!</v>
      </c>
    </row>
    <row r="99" spans="1:5" ht="15.75">
      <c r="A99" s="834" t="s">
        <v>51</v>
      </c>
      <c r="B99" s="836" t="s">
        <v>419</v>
      </c>
      <c r="C99" s="838" t="str">
        <f>+CONCATENATE(LEFT(Z_ÖSSZEFÜGGÉSEK!A6,4),". évi")</f>
        <v>2021. évi</v>
      </c>
      <c r="D99" s="839"/>
      <c r="E99" s="840"/>
    </row>
    <row r="100" spans="1:5" ht="24.75" thickBot="1">
      <c r="A100" s="835"/>
      <c r="B100" s="837"/>
      <c r="C100" s="231" t="s">
        <v>417</v>
      </c>
      <c r="D100" s="230" t="s">
        <v>418</v>
      </c>
      <c r="E100" s="340" t="str">
        <f>CONCATENATE(E9)</f>
        <v>2021. XII. 31.
teljesítés</v>
      </c>
    </row>
    <row r="101" spans="1:5" s="162" customFormat="1" ht="12" customHeight="1" thickBot="1">
      <c r="A101" s="24" t="s">
        <v>384</v>
      </c>
      <c r="B101" s="25" t="s">
        <v>385</v>
      </c>
      <c r="C101" s="25" t="s">
        <v>386</v>
      </c>
      <c r="D101" s="25" t="s">
        <v>388</v>
      </c>
      <c r="E101" s="242" t="s">
        <v>387</v>
      </c>
    </row>
    <row r="102" spans="1:5" ht="12" customHeight="1" thickBot="1">
      <c r="A102" s="20" t="s">
        <v>6</v>
      </c>
      <c r="B102" s="23" t="s">
        <v>337</v>
      </c>
      <c r="C102" s="150">
        <f>C103+C104+C105+C106+C107+C120</f>
        <v>472916610</v>
      </c>
      <c r="D102" s="150">
        <f>D103+D104+D105+D106+D107+D120</f>
        <v>639549620</v>
      </c>
      <c r="E102" s="217">
        <f>E103+E104+E105+E106+E107+E120</f>
        <v>420503788</v>
      </c>
    </row>
    <row r="103" spans="1:5" ht="12" customHeight="1">
      <c r="A103" s="15" t="s">
        <v>63</v>
      </c>
      <c r="B103" s="8" t="s">
        <v>35</v>
      </c>
      <c r="C103" s="716">
        <v>185107125</v>
      </c>
      <c r="D103" s="224">
        <v>193523152</v>
      </c>
      <c r="E103" s="218">
        <v>163979023</v>
      </c>
    </row>
    <row r="104" spans="1:5" ht="12" customHeight="1">
      <c r="A104" s="12" t="s">
        <v>64</v>
      </c>
      <c r="B104" s="6" t="s">
        <v>123</v>
      </c>
      <c r="C104" s="581">
        <v>31692794</v>
      </c>
      <c r="D104" s="152">
        <v>31410929</v>
      </c>
      <c r="E104" s="88">
        <v>25040334</v>
      </c>
    </row>
    <row r="105" spans="1:5" ht="12" customHeight="1">
      <c r="A105" s="12" t="s">
        <v>65</v>
      </c>
      <c r="B105" s="6" t="s">
        <v>91</v>
      </c>
      <c r="C105" s="715">
        <v>178468339</v>
      </c>
      <c r="D105" s="154">
        <v>199145149</v>
      </c>
      <c r="E105" s="90">
        <v>163198136</v>
      </c>
    </row>
    <row r="106" spans="1:5" ht="12" customHeight="1">
      <c r="A106" s="12" t="s">
        <v>66</v>
      </c>
      <c r="B106" s="9" t="s">
        <v>124</v>
      </c>
      <c r="C106" s="715">
        <v>5840000</v>
      </c>
      <c r="D106" s="154">
        <v>5840000</v>
      </c>
      <c r="E106" s="90">
        <v>3623347</v>
      </c>
    </row>
    <row r="107" spans="1:5" ht="12" customHeight="1">
      <c r="A107" s="12" t="s">
        <v>75</v>
      </c>
      <c r="B107" s="17" t="s">
        <v>125</v>
      </c>
      <c r="C107" s="715">
        <v>51729352</v>
      </c>
      <c r="D107" s="154">
        <v>65017583</v>
      </c>
      <c r="E107" s="90">
        <v>64662948</v>
      </c>
    </row>
    <row r="108" spans="1:5" ht="12" customHeight="1">
      <c r="A108" s="12" t="s">
        <v>67</v>
      </c>
      <c r="B108" s="6" t="s">
        <v>342</v>
      </c>
      <c r="C108" s="715"/>
      <c r="D108" s="154"/>
      <c r="E108" s="90"/>
    </row>
    <row r="109" spans="1:5" ht="12" customHeight="1">
      <c r="A109" s="12" t="s">
        <v>68</v>
      </c>
      <c r="B109" s="59" t="s">
        <v>341</v>
      </c>
      <c r="C109" s="715"/>
      <c r="D109" s="154"/>
      <c r="E109" s="90"/>
    </row>
    <row r="110" spans="1:5" ht="12" customHeight="1">
      <c r="A110" s="12" t="s">
        <v>76</v>
      </c>
      <c r="B110" s="59" t="s">
        <v>340</v>
      </c>
      <c r="C110" s="715">
        <v>5706888</v>
      </c>
      <c r="D110" s="154">
        <v>5892108</v>
      </c>
      <c r="E110" s="90">
        <v>5892108</v>
      </c>
    </row>
    <row r="111" spans="1:5" ht="12" customHeight="1">
      <c r="A111" s="12" t="s">
        <v>77</v>
      </c>
      <c r="B111" s="57" t="s">
        <v>257</v>
      </c>
      <c r="C111" s="715"/>
      <c r="D111" s="154"/>
      <c r="E111" s="90"/>
    </row>
    <row r="112" spans="1:5" ht="12" customHeight="1">
      <c r="A112" s="12" t="s">
        <v>78</v>
      </c>
      <c r="B112" s="58" t="s">
        <v>258</v>
      </c>
      <c r="C112" s="715"/>
      <c r="D112" s="154"/>
      <c r="E112" s="90"/>
    </row>
    <row r="113" spans="1:5" ht="12" customHeight="1">
      <c r="A113" s="12" t="s">
        <v>79</v>
      </c>
      <c r="B113" s="58" t="s">
        <v>259</v>
      </c>
      <c r="C113" s="715"/>
      <c r="D113" s="154"/>
      <c r="E113" s="90"/>
    </row>
    <row r="114" spans="1:5" ht="12" customHeight="1">
      <c r="A114" s="12" t="s">
        <v>81</v>
      </c>
      <c r="B114" s="57" t="s">
        <v>260</v>
      </c>
      <c r="C114" s="715">
        <v>45252464</v>
      </c>
      <c r="D114" s="154">
        <v>45605175</v>
      </c>
      <c r="E114" s="90">
        <v>45500540</v>
      </c>
    </row>
    <row r="115" spans="1:5" ht="12" customHeight="1">
      <c r="A115" s="12" t="s">
        <v>126</v>
      </c>
      <c r="B115" s="57" t="s">
        <v>261</v>
      </c>
      <c r="C115" s="715"/>
      <c r="D115" s="154"/>
      <c r="E115" s="90"/>
    </row>
    <row r="116" spans="1:5" ht="12" customHeight="1">
      <c r="A116" s="12" t="s">
        <v>255</v>
      </c>
      <c r="B116" s="58" t="s">
        <v>262</v>
      </c>
      <c r="C116" s="715"/>
      <c r="D116" s="154"/>
      <c r="E116" s="90"/>
    </row>
    <row r="117" spans="1:5" ht="12" customHeight="1">
      <c r="A117" s="11" t="s">
        <v>256</v>
      </c>
      <c r="B117" s="59" t="s">
        <v>263</v>
      </c>
      <c r="C117" s="715"/>
      <c r="D117" s="154"/>
      <c r="E117" s="90"/>
    </row>
    <row r="118" spans="1:5" ht="12" customHeight="1">
      <c r="A118" s="12" t="s">
        <v>338</v>
      </c>
      <c r="B118" s="59" t="s">
        <v>264</v>
      </c>
      <c r="C118" s="715"/>
      <c r="D118" s="154"/>
      <c r="E118" s="90"/>
    </row>
    <row r="119" spans="1:5" ht="12" customHeight="1">
      <c r="A119" s="14" t="s">
        <v>339</v>
      </c>
      <c r="B119" s="59" t="s">
        <v>265</v>
      </c>
      <c r="C119" s="715">
        <v>770000</v>
      </c>
      <c r="D119" s="154">
        <v>13520300</v>
      </c>
      <c r="E119" s="90">
        <v>13270300</v>
      </c>
    </row>
    <row r="120" spans="1:5" ht="12" customHeight="1">
      <c r="A120" s="12" t="s">
        <v>343</v>
      </c>
      <c r="B120" s="9" t="s">
        <v>36</v>
      </c>
      <c r="C120" s="581">
        <v>20079000</v>
      </c>
      <c r="D120" s="152">
        <v>144612807</v>
      </c>
      <c r="E120" s="88"/>
    </row>
    <row r="121" spans="1:5" ht="12" customHeight="1">
      <c r="A121" s="12" t="s">
        <v>344</v>
      </c>
      <c r="B121" s="6" t="s">
        <v>346</v>
      </c>
      <c r="C121" s="581">
        <v>12665713</v>
      </c>
      <c r="D121" s="152">
        <v>137199520</v>
      </c>
      <c r="E121" s="88"/>
    </row>
    <row r="122" spans="1:5" ht="12" customHeight="1" thickBot="1">
      <c r="A122" s="16" t="s">
        <v>345</v>
      </c>
      <c r="B122" s="213" t="s">
        <v>347</v>
      </c>
      <c r="C122" s="717">
        <v>7413287</v>
      </c>
      <c r="D122" s="225">
        <v>7413287</v>
      </c>
      <c r="E122" s="219"/>
    </row>
    <row r="123" spans="1:5" ht="12" customHeight="1" thickBot="1">
      <c r="A123" s="211" t="s">
        <v>7</v>
      </c>
      <c r="B123" s="212" t="s">
        <v>266</v>
      </c>
      <c r="C123" s="226">
        <f>+C124+C126+C128</f>
        <v>119870329</v>
      </c>
      <c r="D123" s="151">
        <f>+D124+D126+D128</f>
        <v>191146978</v>
      </c>
      <c r="E123" s="220">
        <f>+E124+E126+E128</f>
        <v>150585277</v>
      </c>
    </row>
    <row r="124" spans="1:5" ht="12" customHeight="1">
      <c r="A124" s="13" t="s">
        <v>69</v>
      </c>
      <c r="B124" s="6" t="s">
        <v>140</v>
      </c>
      <c r="C124" s="582">
        <v>110634329</v>
      </c>
      <c r="D124" s="235">
        <v>137286229</v>
      </c>
      <c r="E124" s="89">
        <v>112623429</v>
      </c>
    </row>
    <row r="125" spans="1:5" ht="12" customHeight="1">
      <c r="A125" s="13" t="s">
        <v>70</v>
      </c>
      <c r="B125" s="10" t="s">
        <v>270</v>
      </c>
      <c r="C125" s="582">
        <v>23112825</v>
      </c>
      <c r="D125" s="235">
        <v>23112825</v>
      </c>
      <c r="E125" s="89">
        <v>22950066</v>
      </c>
    </row>
    <row r="126" spans="1:5" ht="12" customHeight="1">
      <c r="A126" s="13" t="s">
        <v>71</v>
      </c>
      <c r="B126" s="10" t="s">
        <v>127</v>
      </c>
      <c r="C126" s="581">
        <v>9236000</v>
      </c>
      <c r="D126" s="236">
        <v>53860749</v>
      </c>
      <c r="E126" s="88">
        <v>37961848</v>
      </c>
    </row>
    <row r="127" spans="1:5" ht="12" customHeight="1">
      <c r="A127" s="13" t="s">
        <v>72</v>
      </c>
      <c r="B127" s="10" t="s">
        <v>271</v>
      </c>
      <c r="C127" s="152"/>
      <c r="D127" s="236"/>
      <c r="E127" s="88"/>
    </row>
    <row r="128" spans="1:5" ht="12" customHeight="1">
      <c r="A128" s="13" t="s">
        <v>73</v>
      </c>
      <c r="B128" s="96" t="s">
        <v>142</v>
      </c>
      <c r="C128" s="152"/>
      <c r="D128" s="236"/>
      <c r="E128" s="88"/>
    </row>
    <row r="129" spans="1:5" ht="12" customHeight="1">
      <c r="A129" s="13" t="s">
        <v>80</v>
      </c>
      <c r="B129" s="95" t="s">
        <v>330</v>
      </c>
      <c r="C129" s="152"/>
      <c r="D129" s="236"/>
      <c r="E129" s="88"/>
    </row>
    <row r="130" spans="1:5" ht="12" customHeight="1">
      <c r="A130" s="13" t="s">
        <v>82</v>
      </c>
      <c r="B130" s="160" t="s">
        <v>276</v>
      </c>
      <c r="C130" s="152"/>
      <c r="D130" s="236"/>
      <c r="E130" s="88"/>
    </row>
    <row r="131" spans="1:5" ht="15.75">
      <c r="A131" s="13" t="s">
        <v>128</v>
      </c>
      <c r="B131" s="58" t="s">
        <v>259</v>
      </c>
      <c r="C131" s="152"/>
      <c r="D131" s="236"/>
      <c r="E131" s="88"/>
    </row>
    <row r="132" spans="1:5" ht="12" customHeight="1">
      <c r="A132" s="13" t="s">
        <v>129</v>
      </c>
      <c r="B132" s="58" t="s">
        <v>275</v>
      </c>
      <c r="C132" s="152"/>
      <c r="D132" s="236"/>
      <c r="E132" s="88"/>
    </row>
    <row r="133" spans="1:5" ht="12" customHeight="1">
      <c r="A133" s="13" t="s">
        <v>130</v>
      </c>
      <c r="B133" s="58" t="s">
        <v>274</v>
      </c>
      <c r="C133" s="152"/>
      <c r="D133" s="236"/>
      <c r="E133" s="88"/>
    </row>
    <row r="134" spans="1:5" ht="12" customHeight="1">
      <c r="A134" s="13" t="s">
        <v>267</v>
      </c>
      <c r="B134" s="58" t="s">
        <v>262</v>
      </c>
      <c r="C134" s="152"/>
      <c r="D134" s="236"/>
      <c r="E134" s="88"/>
    </row>
    <row r="135" spans="1:5" ht="12" customHeight="1">
      <c r="A135" s="13" t="s">
        <v>268</v>
      </c>
      <c r="B135" s="58" t="s">
        <v>273</v>
      </c>
      <c r="C135" s="152"/>
      <c r="D135" s="236"/>
      <c r="E135" s="88"/>
    </row>
    <row r="136" spans="1:5" ht="16.5" thickBot="1">
      <c r="A136" s="11" t="s">
        <v>269</v>
      </c>
      <c r="B136" s="58" t="s">
        <v>272</v>
      </c>
      <c r="C136" s="154"/>
      <c r="D136" s="237"/>
      <c r="E136" s="90"/>
    </row>
    <row r="137" spans="1:5" ht="12" customHeight="1" thickBot="1">
      <c r="A137" s="18" t="s">
        <v>8</v>
      </c>
      <c r="B137" s="51" t="s">
        <v>348</v>
      </c>
      <c r="C137" s="151">
        <f>+C102+C123</f>
        <v>592786939</v>
      </c>
      <c r="D137" s="234">
        <f>+D102+D123</f>
        <v>830696598</v>
      </c>
      <c r="E137" s="87">
        <f>+E102+E123</f>
        <v>571089065</v>
      </c>
    </row>
    <row r="138" spans="1:5" ht="12" customHeight="1" thickBot="1">
      <c r="A138" s="18" t="s">
        <v>9</v>
      </c>
      <c r="B138" s="51" t="s">
        <v>420</v>
      </c>
      <c r="C138" s="151">
        <f>+C139+C140+C141</f>
        <v>0</v>
      </c>
      <c r="D138" s="234">
        <f>+D139+D140+D141</f>
        <v>0</v>
      </c>
      <c r="E138" s="87">
        <f>+E139+E140+E141</f>
        <v>0</v>
      </c>
    </row>
    <row r="139" spans="1:5" ht="12" customHeight="1">
      <c r="A139" s="13" t="s">
        <v>174</v>
      </c>
      <c r="B139" s="10" t="s">
        <v>356</v>
      </c>
      <c r="C139" s="152"/>
      <c r="D139" s="236"/>
      <c r="E139" s="88"/>
    </row>
    <row r="140" spans="1:5" ht="12" customHeight="1">
      <c r="A140" s="13" t="s">
        <v>175</v>
      </c>
      <c r="B140" s="10" t="s">
        <v>357</v>
      </c>
      <c r="C140" s="152"/>
      <c r="D140" s="236"/>
      <c r="E140" s="88"/>
    </row>
    <row r="141" spans="1:5" ht="12" customHeight="1" thickBot="1">
      <c r="A141" s="11" t="s">
        <v>176</v>
      </c>
      <c r="B141" s="10" t="s">
        <v>358</v>
      </c>
      <c r="C141" s="152"/>
      <c r="D141" s="236"/>
      <c r="E141" s="88"/>
    </row>
    <row r="142" spans="1:5" ht="12" customHeight="1" thickBot="1">
      <c r="A142" s="18" t="s">
        <v>10</v>
      </c>
      <c r="B142" s="51" t="s">
        <v>350</v>
      </c>
      <c r="C142" s="151">
        <f>SUM(C143:C148)</f>
        <v>0</v>
      </c>
      <c r="D142" s="234">
        <f>SUM(D143:D148)</f>
        <v>0</v>
      </c>
      <c r="E142" s="87">
        <f>SUM(E143:E148)</f>
        <v>0</v>
      </c>
    </row>
    <row r="143" spans="1:5" ht="12" customHeight="1">
      <c r="A143" s="13" t="s">
        <v>56</v>
      </c>
      <c r="B143" s="7" t="s">
        <v>359</v>
      </c>
      <c r="C143" s="152"/>
      <c r="D143" s="236"/>
      <c r="E143" s="88"/>
    </row>
    <row r="144" spans="1:5" ht="12" customHeight="1">
      <c r="A144" s="13" t="s">
        <v>57</v>
      </c>
      <c r="B144" s="7" t="s">
        <v>351</v>
      </c>
      <c r="C144" s="152"/>
      <c r="D144" s="236"/>
      <c r="E144" s="88"/>
    </row>
    <row r="145" spans="1:5" ht="12" customHeight="1">
      <c r="A145" s="13" t="s">
        <v>58</v>
      </c>
      <c r="B145" s="7" t="s">
        <v>352</v>
      </c>
      <c r="C145" s="152"/>
      <c r="D145" s="236"/>
      <c r="E145" s="88"/>
    </row>
    <row r="146" spans="1:5" ht="12" customHeight="1">
      <c r="A146" s="13" t="s">
        <v>115</v>
      </c>
      <c r="B146" s="7" t="s">
        <v>353</v>
      </c>
      <c r="C146" s="152"/>
      <c r="D146" s="236"/>
      <c r="E146" s="88"/>
    </row>
    <row r="147" spans="1:5" ht="12" customHeight="1">
      <c r="A147" s="13" t="s">
        <v>116</v>
      </c>
      <c r="B147" s="7" t="s">
        <v>354</v>
      </c>
      <c r="C147" s="152"/>
      <c r="D147" s="236"/>
      <c r="E147" s="88"/>
    </row>
    <row r="148" spans="1:5" ht="12" customHeight="1" thickBot="1">
      <c r="A148" s="16" t="s">
        <v>117</v>
      </c>
      <c r="B148" s="350" t="s">
        <v>355</v>
      </c>
      <c r="C148" s="152"/>
      <c r="D148" s="301"/>
      <c r="E148" s="219"/>
    </row>
    <row r="149" spans="1:5" ht="12" customHeight="1" thickBot="1">
      <c r="A149" s="18" t="s">
        <v>11</v>
      </c>
      <c r="B149" s="51" t="s">
        <v>363</v>
      </c>
      <c r="C149" s="157">
        <f>+C150+C151+C152+C153</f>
        <v>4376944</v>
      </c>
      <c r="D149" s="238">
        <f>+D150+D151+D152+D153</f>
        <v>4376944</v>
      </c>
      <c r="E149" s="193">
        <f>+E150+E151+E152+E153</f>
        <v>4376944</v>
      </c>
    </row>
    <row r="150" spans="1:5" ht="12" customHeight="1">
      <c r="A150" s="13" t="s">
        <v>59</v>
      </c>
      <c r="B150" s="7" t="s">
        <v>277</v>
      </c>
      <c r="C150" s="152"/>
      <c r="D150" s="236"/>
      <c r="E150" s="88"/>
    </row>
    <row r="151" spans="1:5" ht="12" customHeight="1">
      <c r="A151" s="13" t="s">
        <v>60</v>
      </c>
      <c r="B151" s="7" t="s">
        <v>278</v>
      </c>
      <c r="C151" s="152">
        <v>4376944</v>
      </c>
      <c r="D151" s="236">
        <v>4376944</v>
      </c>
      <c r="E151" s="88">
        <v>4376944</v>
      </c>
    </row>
    <row r="152" spans="1:5" ht="12" customHeight="1">
      <c r="A152" s="13" t="s">
        <v>194</v>
      </c>
      <c r="B152" s="7" t="s">
        <v>364</v>
      </c>
      <c r="C152" s="152"/>
      <c r="D152" s="236"/>
      <c r="E152" s="88"/>
    </row>
    <row r="153" spans="1:5" ht="12" customHeight="1" thickBot="1">
      <c r="A153" s="11" t="s">
        <v>195</v>
      </c>
      <c r="B153" s="5" t="s">
        <v>294</v>
      </c>
      <c r="C153" s="152"/>
      <c r="D153" s="236"/>
      <c r="E153" s="88"/>
    </row>
    <row r="154" spans="1:5" ht="12" customHeight="1" thickBot="1">
      <c r="A154" s="18" t="s">
        <v>12</v>
      </c>
      <c r="B154" s="51" t="s">
        <v>365</v>
      </c>
      <c r="C154" s="227">
        <f>SUM(C155:C159)</f>
        <v>0</v>
      </c>
      <c r="D154" s="239">
        <f>SUM(D155:D159)</f>
        <v>0</v>
      </c>
      <c r="E154" s="221">
        <f>SUM(E155:E159)</f>
        <v>0</v>
      </c>
    </row>
    <row r="155" spans="1:5" ht="12" customHeight="1">
      <c r="A155" s="13" t="s">
        <v>61</v>
      </c>
      <c r="B155" s="7" t="s">
        <v>360</v>
      </c>
      <c r="C155" s="152"/>
      <c r="D155" s="236"/>
      <c r="E155" s="88"/>
    </row>
    <row r="156" spans="1:5" ht="12" customHeight="1">
      <c r="A156" s="13" t="s">
        <v>62</v>
      </c>
      <c r="B156" s="7" t="s">
        <v>367</v>
      </c>
      <c r="C156" s="152"/>
      <c r="D156" s="236"/>
      <c r="E156" s="88"/>
    </row>
    <row r="157" spans="1:5" ht="12" customHeight="1">
      <c r="A157" s="13" t="s">
        <v>206</v>
      </c>
      <c r="B157" s="7" t="s">
        <v>362</v>
      </c>
      <c r="C157" s="152"/>
      <c r="D157" s="236"/>
      <c r="E157" s="88"/>
    </row>
    <row r="158" spans="1:5" ht="12" customHeight="1">
      <c r="A158" s="13" t="s">
        <v>207</v>
      </c>
      <c r="B158" s="7" t="s">
        <v>368</v>
      </c>
      <c r="C158" s="152"/>
      <c r="D158" s="236"/>
      <c r="E158" s="88"/>
    </row>
    <row r="159" spans="1:5" ht="12" customHeight="1" thickBot="1">
      <c r="A159" s="13" t="s">
        <v>366</v>
      </c>
      <c r="B159" s="7" t="s">
        <v>369</v>
      </c>
      <c r="C159" s="152"/>
      <c r="D159" s="236"/>
      <c r="E159" s="88"/>
    </row>
    <row r="160" spans="1:5" ht="12" customHeight="1" thickBot="1">
      <c r="A160" s="18" t="s">
        <v>13</v>
      </c>
      <c r="B160" s="51" t="s">
        <v>370</v>
      </c>
      <c r="C160" s="228"/>
      <c r="D160" s="240"/>
      <c r="E160" s="222"/>
    </row>
    <row r="161" spans="1:5" ht="12" customHeight="1" thickBot="1">
      <c r="A161" s="18" t="s">
        <v>14</v>
      </c>
      <c r="B161" s="51" t="s">
        <v>371</v>
      </c>
      <c r="C161" s="228"/>
      <c r="D161" s="240"/>
      <c r="E161" s="222"/>
    </row>
    <row r="162" spans="1:6" ht="15" customHeight="1" thickBot="1">
      <c r="A162" s="18" t="s">
        <v>15</v>
      </c>
      <c r="B162" s="51" t="s">
        <v>373</v>
      </c>
      <c r="C162" s="229">
        <f>+C138+C142+C149+C154+C160+C161</f>
        <v>4376944</v>
      </c>
      <c r="D162" s="241">
        <f>+D138+D142+D149+D154+D160+D161</f>
        <v>4376944</v>
      </c>
      <c r="E162" s="223">
        <f>+E138+E142+E149+E154+E160+E161</f>
        <v>4376944</v>
      </c>
      <c r="F162" s="174"/>
    </row>
    <row r="163" spans="1:5" s="163" customFormat="1" ht="12.75" customHeight="1" thickBot="1">
      <c r="A163" s="97" t="s">
        <v>16</v>
      </c>
      <c r="B163" s="138" t="s">
        <v>372</v>
      </c>
      <c r="C163" s="229">
        <f>+C137+C162</f>
        <v>597163883</v>
      </c>
      <c r="D163" s="241">
        <f>+D137+D162</f>
        <v>835073542</v>
      </c>
      <c r="E163" s="223">
        <f>+E137+E162</f>
        <v>575466009</v>
      </c>
    </row>
    <row r="164" spans="3:5" ht="15.75">
      <c r="C164" s="547">
        <f>C95-C163</f>
        <v>-9565884</v>
      </c>
      <c r="D164" s="547">
        <f>D95-D163</f>
        <v>-16027619</v>
      </c>
      <c r="E164" s="547"/>
    </row>
    <row r="165" spans="1:5" ht="15.75">
      <c r="A165" s="841" t="s">
        <v>279</v>
      </c>
      <c r="B165" s="841"/>
      <c r="C165" s="841"/>
      <c r="D165" s="841"/>
      <c r="E165" s="841"/>
    </row>
    <row r="166" spans="1:5" ht="15" customHeight="1" thickBot="1">
      <c r="A166" s="833" t="s">
        <v>103</v>
      </c>
      <c r="B166" s="833"/>
      <c r="C166" s="99"/>
      <c r="E166" s="99" t="str">
        <f>E98</f>
        <v> Forintban!</v>
      </c>
    </row>
    <row r="167" spans="1:5" ht="25.5" customHeight="1" thickBot="1">
      <c r="A167" s="18">
        <v>1</v>
      </c>
      <c r="B167" s="22" t="s">
        <v>374</v>
      </c>
      <c r="C167" s="233">
        <f>+C70-C137</f>
        <v>-240600706</v>
      </c>
      <c r="D167" s="151">
        <f>+D70-D137</f>
        <v>-332740466</v>
      </c>
      <c r="E167" s="87">
        <f>+E70-E137</f>
        <v>-77553164</v>
      </c>
    </row>
    <row r="168" spans="1:5" ht="32.25" customHeight="1" thickBot="1">
      <c r="A168" s="18" t="s">
        <v>7</v>
      </c>
      <c r="B168" s="22" t="s">
        <v>380</v>
      </c>
      <c r="C168" s="151">
        <f>+C94-C162</f>
        <v>231034822</v>
      </c>
      <c r="D168" s="151">
        <f>+D94-D162</f>
        <v>316712847</v>
      </c>
      <c r="E168" s="87">
        <f>+E94-E162</f>
        <v>316712847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5:E165"/>
    <mergeCell ref="A166:B166"/>
    <mergeCell ref="A8:A9"/>
    <mergeCell ref="B8:B9"/>
    <mergeCell ref="C8:E8"/>
    <mergeCell ref="A97:E97"/>
    <mergeCell ref="A98:B98"/>
    <mergeCell ref="A99:A100"/>
    <mergeCell ref="B99:B100"/>
    <mergeCell ref="C99:E99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60" r:id="rId1"/>
  <rowBreaks count="1" manualBreakCount="1">
    <brk id="9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6"/>
  <sheetViews>
    <sheetView view="pageBreakPreview" zoomScaleNormal="120" zoomScaleSheetLayoutView="100" workbookViewId="0" topLeftCell="A130">
      <selection activeCell="C158" sqref="C158"/>
    </sheetView>
  </sheetViews>
  <sheetFormatPr defaultColWidth="9.00390625" defaultRowHeight="12.75"/>
  <cols>
    <col min="1" max="1" width="9.50390625" style="139" customWidth="1"/>
    <col min="2" max="2" width="65.875" style="139" customWidth="1"/>
    <col min="3" max="3" width="17.875" style="140" customWidth="1"/>
    <col min="4" max="5" width="17.875" style="161" customWidth="1"/>
    <col min="6" max="16384" width="9.375" style="161" customWidth="1"/>
  </cols>
  <sheetData>
    <row r="1" spans="1:5" ht="15.75">
      <c r="A1" s="351"/>
      <c r="B1" s="828" t="str">
        <f>CONCATENATE("3. melléklet ",Z_ALAPADATOK!A7," ",Z_ALAPADATOK!B7," ",Z_ALAPADATOK!C7," ",Z_ALAPADATOK!D7," ",Z_ALAPADATOK!E7," ",Z_ALAPADATOK!F7," ",Z_ALAPADATOK!G7," ",Z_ALAPADATOK!H7)</f>
        <v>3. melléklet a 3 / 2022. ( V. 26. ) önkormányzati rendelethez</v>
      </c>
      <c r="C1" s="829"/>
      <c r="D1" s="829"/>
      <c r="E1" s="829"/>
    </row>
    <row r="2" spans="1:5" ht="15.75">
      <c r="A2" s="830" t="str">
        <f>CONCATENATE(Z_ALAPADATOK!A3)</f>
        <v>Balatonvilágos Község Önkormányzata</v>
      </c>
      <c r="B2" s="831"/>
      <c r="C2" s="831"/>
      <c r="D2" s="831"/>
      <c r="E2" s="831"/>
    </row>
    <row r="3" spans="1:5" ht="15.75">
      <c r="A3" s="830" t="s">
        <v>723</v>
      </c>
      <c r="B3" s="830"/>
      <c r="C3" s="832"/>
      <c r="D3" s="830"/>
      <c r="E3" s="830"/>
    </row>
    <row r="4" spans="1:5" ht="19.5" customHeight="1">
      <c r="A4" s="830" t="s">
        <v>614</v>
      </c>
      <c r="B4" s="830"/>
      <c r="C4" s="832"/>
      <c r="D4" s="830"/>
      <c r="E4" s="830"/>
    </row>
    <row r="5" spans="1:5" ht="15.75">
      <c r="A5" s="351"/>
      <c r="B5" s="351"/>
      <c r="C5" s="352"/>
      <c r="D5" s="353"/>
      <c r="E5" s="353"/>
    </row>
    <row r="6" spans="1:5" ht="15.75" customHeight="1">
      <c r="A6" s="842" t="s">
        <v>3</v>
      </c>
      <c r="B6" s="842"/>
      <c r="C6" s="842"/>
      <c r="D6" s="842"/>
      <c r="E6" s="842"/>
    </row>
    <row r="7" spans="1:5" ht="15.75" customHeight="1" thickBot="1">
      <c r="A7" s="844" t="s">
        <v>101</v>
      </c>
      <c r="B7" s="844"/>
      <c r="C7" s="354"/>
      <c r="D7" s="353"/>
      <c r="E7" s="354" t="str">
        <f>CONCATENATE(2!E7)</f>
        <v> Forintban!</v>
      </c>
    </row>
    <row r="8" spans="1:5" ht="15.75">
      <c r="A8" s="834" t="s">
        <v>51</v>
      </c>
      <c r="B8" s="836" t="s">
        <v>5</v>
      </c>
      <c r="C8" s="838" t="str">
        <f>+CONCATENATE(LEFT(Z_ÖSSZEFÜGGÉSEK!A6,4),". évi")</f>
        <v>2021. évi</v>
      </c>
      <c r="D8" s="839"/>
      <c r="E8" s="840"/>
    </row>
    <row r="9" spans="1:5" ht="24.75" thickBot="1">
      <c r="A9" s="835"/>
      <c r="B9" s="837"/>
      <c r="C9" s="231" t="s">
        <v>417</v>
      </c>
      <c r="D9" s="230" t="s">
        <v>418</v>
      </c>
      <c r="E9" s="340" t="str">
        <f>CONCATENATE(2!E9)</f>
        <v>2021. XII. 31.
teljesítés</v>
      </c>
    </row>
    <row r="10" spans="1:5" s="162" customFormat="1" ht="12" customHeight="1" thickBot="1">
      <c r="A10" s="158" t="s">
        <v>384</v>
      </c>
      <c r="B10" s="159" t="s">
        <v>385</v>
      </c>
      <c r="C10" s="159" t="s">
        <v>386</v>
      </c>
      <c r="D10" s="159" t="s">
        <v>388</v>
      </c>
      <c r="E10" s="232" t="s">
        <v>387</v>
      </c>
    </row>
    <row r="11" spans="1:5" s="163" customFormat="1" ht="12" customHeight="1" thickBot="1">
      <c r="A11" s="18" t="s">
        <v>6</v>
      </c>
      <c r="B11" s="19" t="s">
        <v>159</v>
      </c>
      <c r="C11" s="151">
        <f>+C12+C13+C14+C15+C16+C17</f>
        <v>0</v>
      </c>
      <c r="D11" s="151">
        <f>+D12+D13+D14+D15+D16+D17</f>
        <v>0</v>
      </c>
      <c r="E11" s="87">
        <f>+E12+E13+E14+E15+E16+E17</f>
        <v>0</v>
      </c>
    </row>
    <row r="12" spans="1:5" s="163" customFormat="1" ht="12" customHeight="1">
      <c r="A12" s="13" t="s">
        <v>63</v>
      </c>
      <c r="B12" s="164" t="s">
        <v>160</v>
      </c>
      <c r="C12" s="153"/>
      <c r="D12" s="153"/>
      <c r="E12" s="89"/>
    </row>
    <row r="13" spans="1:5" s="163" customFormat="1" ht="12" customHeight="1">
      <c r="A13" s="12" t="s">
        <v>64</v>
      </c>
      <c r="B13" s="165" t="s">
        <v>161</v>
      </c>
      <c r="C13" s="152"/>
      <c r="D13" s="152"/>
      <c r="E13" s="88"/>
    </row>
    <row r="14" spans="1:5" s="163" customFormat="1" ht="12" customHeight="1">
      <c r="A14" s="12" t="s">
        <v>65</v>
      </c>
      <c r="B14" s="165" t="s">
        <v>162</v>
      </c>
      <c r="C14" s="152"/>
      <c r="D14" s="152"/>
      <c r="E14" s="88"/>
    </row>
    <row r="15" spans="1:5" s="163" customFormat="1" ht="12" customHeight="1">
      <c r="A15" s="12" t="s">
        <v>66</v>
      </c>
      <c r="B15" s="165" t="s">
        <v>163</v>
      </c>
      <c r="C15" s="152"/>
      <c r="D15" s="152"/>
      <c r="E15" s="88"/>
    </row>
    <row r="16" spans="1:5" s="163" customFormat="1" ht="12" customHeight="1">
      <c r="A16" s="12" t="s">
        <v>98</v>
      </c>
      <c r="B16" s="95" t="s">
        <v>332</v>
      </c>
      <c r="C16" s="152"/>
      <c r="D16" s="152"/>
      <c r="E16" s="88"/>
    </row>
    <row r="17" spans="1:5" s="163" customFormat="1" ht="12" customHeight="1" thickBot="1">
      <c r="A17" s="14" t="s">
        <v>67</v>
      </c>
      <c r="B17" s="96" t="s">
        <v>333</v>
      </c>
      <c r="C17" s="152"/>
      <c r="D17" s="152"/>
      <c r="E17" s="88"/>
    </row>
    <row r="18" spans="1:5" s="163" customFormat="1" ht="12" customHeight="1" thickBot="1">
      <c r="A18" s="18" t="s">
        <v>7</v>
      </c>
      <c r="B18" s="94" t="s">
        <v>164</v>
      </c>
      <c r="C18" s="151">
        <f>+C19+C20+C21+C22+C23</f>
        <v>0</v>
      </c>
      <c r="D18" s="151">
        <f>+D19+D20+D21+D22+D23</f>
        <v>0</v>
      </c>
      <c r="E18" s="87">
        <f>+E19+E20+E21+E22+E23</f>
        <v>0</v>
      </c>
    </row>
    <row r="19" spans="1:5" s="163" customFormat="1" ht="12" customHeight="1">
      <c r="A19" s="13" t="s">
        <v>69</v>
      </c>
      <c r="B19" s="164" t="s">
        <v>165</v>
      </c>
      <c r="C19" s="153"/>
      <c r="D19" s="153"/>
      <c r="E19" s="89"/>
    </row>
    <row r="20" spans="1:5" s="163" customFormat="1" ht="12" customHeight="1">
      <c r="A20" s="12" t="s">
        <v>70</v>
      </c>
      <c r="B20" s="165" t="s">
        <v>166</v>
      </c>
      <c r="C20" s="152"/>
      <c r="D20" s="152"/>
      <c r="E20" s="88"/>
    </row>
    <row r="21" spans="1:5" s="163" customFormat="1" ht="12" customHeight="1">
      <c r="A21" s="12" t="s">
        <v>71</v>
      </c>
      <c r="B21" s="165" t="s">
        <v>324</v>
      </c>
      <c r="C21" s="152"/>
      <c r="D21" s="152"/>
      <c r="E21" s="88"/>
    </row>
    <row r="22" spans="1:5" s="163" customFormat="1" ht="12" customHeight="1">
      <c r="A22" s="12" t="s">
        <v>72</v>
      </c>
      <c r="B22" s="165" t="s">
        <v>325</v>
      </c>
      <c r="C22" s="152"/>
      <c r="D22" s="152"/>
      <c r="E22" s="88"/>
    </row>
    <row r="23" spans="1:5" s="163" customFormat="1" ht="12" customHeight="1">
      <c r="A23" s="12" t="s">
        <v>73</v>
      </c>
      <c r="B23" s="165" t="s">
        <v>167</v>
      </c>
      <c r="C23" s="152"/>
      <c r="D23" s="152"/>
      <c r="E23" s="88"/>
    </row>
    <row r="24" spans="1:5" s="163" customFormat="1" ht="12" customHeight="1" thickBot="1">
      <c r="A24" s="14" t="s">
        <v>80</v>
      </c>
      <c r="B24" s="96" t="s">
        <v>168</v>
      </c>
      <c r="C24" s="154"/>
      <c r="D24" s="154"/>
      <c r="E24" s="90"/>
    </row>
    <row r="25" spans="1:5" s="163" customFormat="1" ht="12" customHeight="1" thickBot="1">
      <c r="A25" s="18" t="s">
        <v>8</v>
      </c>
      <c r="B25" s="19" t="s">
        <v>169</v>
      </c>
      <c r="C25" s="151">
        <f>+C26+C27+C28+C29+C30</f>
        <v>0</v>
      </c>
      <c r="D25" s="151">
        <f>+D26+D27+D28+D29+D30</f>
        <v>0</v>
      </c>
      <c r="E25" s="87">
        <f>+E26+E27+E28+E29+E30</f>
        <v>0</v>
      </c>
    </row>
    <row r="26" spans="1:5" s="163" customFormat="1" ht="12" customHeight="1">
      <c r="A26" s="13" t="s">
        <v>52</v>
      </c>
      <c r="B26" s="164" t="s">
        <v>170</v>
      </c>
      <c r="C26" s="153"/>
      <c r="D26" s="153"/>
      <c r="E26" s="89"/>
    </row>
    <row r="27" spans="1:5" s="163" customFormat="1" ht="12" customHeight="1">
      <c r="A27" s="12" t="s">
        <v>53</v>
      </c>
      <c r="B27" s="165" t="s">
        <v>171</v>
      </c>
      <c r="C27" s="152"/>
      <c r="D27" s="152"/>
      <c r="E27" s="88"/>
    </row>
    <row r="28" spans="1:5" s="163" customFormat="1" ht="12" customHeight="1">
      <c r="A28" s="12" t="s">
        <v>54</v>
      </c>
      <c r="B28" s="165" t="s">
        <v>326</v>
      </c>
      <c r="C28" s="152"/>
      <c r="D28" s="152"/>
      <c r="E28" s="88"/>
    </row>
    <row r="29" spans="1:5" s="163" customFormat="1" ht="12" customHeight="1">
      <c r="A29" s="12" t="s">
        <v>55</v>
      </c>
      <c r="B29" s="165" t="s">
        <v>327</v>
      </c>
      <c r="C29" s="152"/>
      <c r="D29" s="152"/>
      <c r="E29" s="88"/>
    </row>
    <row r="30" spans="1:5" s="163" customFormat="1" ht="12" customHeight="1">
      <c r="A30" s="12" t="s">
        <v>111</v>
      </c>
      <c r="B30" s="165" t="s">
        <v>172</v>
      </c>
      <c r="C30" s="152"/>
      <c r="D30" s="152"/>
      <c r="E30" s="88"/>
    </row>
    <row r="31" spans="1:5" s="163" customFormat="1" ht="12" customHeight="1" thickBot="1">
      <c r="A31" s="14" t="s">
        <v>112</v>
      </c>
      <c r="B31" s="166" t="s">
        <v>173</v>
      </c>
      <c r="C31" s="154"/>
      <c r="D31" s="154"/>
      <c r="E31" s="90"/>
    </row>
    <row r="32" spans="1:5" s="163" customFormat="1" ht="12" customHeight="1" thickBot="1">
      <c r="A32" s="18" t="s">
        <v>113</v>
      </c>
      <c r="B32" s="19" t="s">
        <v>478</v>
      </c>
      <c r="C32" s="157">
        <f>+C33+C34+C35+C36+C37+C38+C39</f>
        <v>0</v>
      </c>
      <c r="D32" s="157">
        <f>SUM(D33:D39)</f>
        <v>0</v>
      </c>
      <c r="E32" s="193">
        <f>SUM(E33:E39)</f>
        <v>0</v>
      </c>
    </row>
    <row r="33" spans="1:5" s="163" customFormat="1" ht="12" customHeight="1">
      <c r="A33" s="13" t="s">
        <v>174</v>
      </c>
      <c r="B33" s="164" t="s">
        <v>479</v>
      </c>
      <c r="C33" s="584"/>
      <c r="D33" s="153">
        <f>+D34+D35+D36</f>
        <v>0</v>
      </c>
      <c r="E33" s="89">
        <f>+E34+E35+E36</f>
        <v>0</v>
      </c>
    </row>
    <row r="34" spans="1:5" s="163" customFormat="1" ht="12" customHeight="1">
      <c r="A34" s="12" t="s">
        <v>175</v>
      </c>
      <c r="B34" s="165" t="s">
        <v>480</v>
      </c>
      <c r="C34" s="152"/>
      <c r="D34" s="152"/>
      <c r="E34" s="88"/>
    </row>
    <row r="35" spans="1:5" s="163" customFormat="1" ht="12" customHeight="1">
      <c r="A35" s="12" t="s">
        <v>176</v>
      </c>
      <c r="B35" s="165" t="s">
        <v>481</v>
      </c>
      <c r="C35" s="152"/>
      <c r="D35" s="152"/>
      <c r="E35" s="88"/>
    </row>
    <row r="36" spans="1:5" s="163" customFormat="1" ht="12" customHeight="1">
      <c r="A36" s="12" t="s">
        <v>177</v>
      </c>
      <c r="B36" s="165" t="s">
        <v>482</v>
      </c>
      <c r="C36" s="152"/>
      <c r="D36" s="152"/>
      <c r="E36" s="88"/>
    </row>
    <row r="37" spans="1:5" s="163" customFormat="1" ht="12" customHeight="1">
      <c r="A37" s="12" t="s">
        <v>483</v>
      </c>
      <c r="B37" s="165" t="s">
        <v>178</v>
      </c>
      <c r="C37" s="152"/>
      <c r="D37" s="152"/>
      <c r="E37" s="88"/>
    </row>
    <row r="38" spans="1:5" s="163" customFormat="1" ht="12" customHeight="1">
      <c r="A38" s="12" t="s">
        <v>484</v>
      </c>
      <c r="B38" s="165" t="s">
        <v>179</v>
      </c>
      <c r="C38" s="152"/>
      <c r="D38" s="152"/>
      <c r="E38" s="88"/>
    </row>
    <row r="39" spans="1:5" s="163" customFormat="1" ht="12" customHeight="1" thickBot="1">
      <c r="A39" s="14" t="s">
        <v>485</v>
      </c>
      <c r="B39" s="310" t="s">
        <v>180</v>
      </c>
      <c r="C39" s="154"/>
      <c r="D39" s="154"/>
      <c r="E39" s="90"/>
    </row>
    <row r="40" spans="1:5" s="163" customFormat="1" ht="12" customHeight="1" thickBot="1">
      <c r="A40" s="18" t="s">
        <v>10</v>
      </c>
      <c r="B40" s="19" t="s">
        <v>334</v>
      </c>
      <c r="C40" s="151">
        <f>SUM(C41:C51)</f>
        <v>10023305</v>
      </c>
      <c r="D40" s="151">
        <f>SUM(D41:D51)</f>
        <v>16485004</v>
      </c>
      <c r="E40" s="87">
        <f>SUM(E41:E51)</f>
        <v>15290924</v>
      </c>
    </row>
    <row r="41" spans="1:5" s="163" customFormat="1" ht="12" customHeight="1">
      <c r="A41" s="13" t="s">
        <v>56</v>
      </c>
      <c r="B41" s="164" t="s">
        <v>183</v>
      </c>
      <c r="C41" s="153"/>
      <c r="D41" s="153"/>
      <c r="E41" s="89"/>
    </row>
    <row r="42" spans="1:5" s="163" customFormat="1" ht="12" customHeight="1">
      <c r="A42" s="12" t="s">
        <v>57</v>
      </c>
      <c r="B42" s="165" t="s">
        <v>184</v>
      </c>
      <c r="C42" s="581">
        <v>9137327</v>
      </c>
      <c r="D42" s="152">
        <v>15599026</v>
      </c>
      <c r="E42" s="88">
        <v>14363332</v>
      </c>
    </row>
    <row r="43" spans="1:5" s="163" customFormat="1" ht="12" customHeight="1">
      <c r="A43" s="12" t="s">
        <v>58</v>
      </c>
      <c r="B43" s="165" t="s">
        <v>185</v>
      </c>
      <c r="C43" s="581"/>
      <c r="D43" s="152"/>
      <c r="E43" s="88"/>
    </row>
    <row r="44" spans="1:5" s="163" customFormat="1" ht="12" customHeight="1">
      <c r="A44" s="12" t="s">
        <v>115</v>
      </c>
      <c r="B44" s="165" t="s">
        <v>186</v>
      </c>
      <c r="C44" s="581"/>
      <c r="D44" s="152"/>
      <c r="E44" s="88"/>
    </row>
    <row r="45" spans="1:5" s="163" customFormat="1" ht="12" customHeight="1">
      <c r="A45" s="12" t="s">
        <v>116</v>
      </c>
      <c r="B45" s="165" t="s">
        <v>187</v>
      </c>
      <c r="C45" s="581"/>
      <c r="D45" s="152"/>
      <c r="E45" s="88"/>
    </row>
    <row r="46" spans="1:5" s="163" customFormat="1" ht="12" customHeight="1">
      <c r="A46" s="12" t="s">
        <v>117</v>
      </c>
      <c r="B46" s="165" t="s">
        <v>188</v>
      </c>
      <c r="C46" s="581">
        <v>885978</v>
      </c>
      <c r="D46" s="152">
        <v>885978</v>
      </c>
      <c r="E46" s="88">
        <v>927592</v>
      </c>
    </row>
    <row r="47" spans="1:5" s="163" customFormat="1" ht="12" customHeight="1">
      <c r="A47" s="12" t="s">
        <v>118</v>
      </c>
      <c r="B47" s="165" t="s">
        <v>189</v>
      </c>
      <c r="C47" s="152"/>
      <c r="D47" s="152"/>
      <c r="E47" s="88"/>
    </row>
    <row r="48" spans="1:5" s="163" customFormat="1" ht="12" customHeight="1">
      <c r="A48" s="12" t="s">
        <v>119</v>
      </c>
      <c r="B48" s="165" t="s">
        <v>486</v>
      </c>
      <c r="C48" s="152"/>
      <c r="D48" s="152"/>
      <c r="E48" s="88"/>
    </row>
    <row r="49" spans="1:5" s="163" customFormat="1" ht="12" customHeight="1">
      <c r="A49" s="12" t="s">
        <v>181</v>
      </c>
      <c r="B49" s="165" t="s">
        <v>191</v>
      </c>
      <c r="C49" s="155"/>
      <c r="D49" s="155"/>
      <c r="E49" s="91"/>
    </row>
    <row r="50" spans="1:5" s="163" customFormat="1" ht="12" customHeight="1">
      <c r="A50" s="14" t="s">
        <v>182</v>
      </c>
      <c r="B50" s="166" t="s">
        <v>336</v>
      </c>
      <c r="C50" s="156"/>
      <c r="D50" s="156"/>
      <c r="E50" s="92"/>
    </row>
    <row r="51" spans="1:5" s="163" customFormat="1" ht="12" customHeight="1" thickBot="1">
      <c r="A51" s="14" t="s">
        <v>335</v>
      </c>
      <c r="B51" s="96" t="s">
        <v>192</v>
      </c>
      <c r="C51" s="356"/>
      <c r="D51" s="156"/>
      <c r="E51" s="92"/>
    </row>
    <row r="52" spans="1:5" s="163" customFormat="1" ht="12" customHeight="1" thickBot="1">
      <c r="A52" s="18" t="s">
        <v>11</v>
      </c>
      <c r="B52" s="19" t="s">
        <v>193</v>
      </c>
      <c r="C52" s="151">
        <f>SUM(C53:C57)</f>
        <v>18199964</v>
      </c>
      <c r="D52" s="151">
        <f>SUM(D53:D57)</f>
        <v>18200000</v>
      </c>
      <c r="E52" s="87">
        <f>SUM(E53:E57)</f>
        <v>18200000</v>
      </c>
    </row>
    <row r="53" spans="1:5" s="163" customFormat="1" ht="12" customHeight="1">
      <c r="A53" s="13" t="s">
        <v>59</v>
      </c>
      <c r="B53" s="164" t="s">
        <v>197</v>
      </c>
      <c r="C53" s="204"/>
      <c r="D53" s="204"/>
      <c r="E53" s="93"/>
    </row>
    <row r="54" spans="1:5" s="163" customFormat="1" ht="12" customHeight="1">
      <c r="A54" s="12" t="s">
        <v>60</v>
      </c>
      <c r="B54" s="165" t="s">
        <v>198</v>
      </c>
      <c r="C54" s="155">
        <v>18199964</v>
      </c>
      <c r="D54" s="155">
        <v>18200000</v>
      </c>
      <c r="E54" s="91">
        <v>18200000</v>
      </c>
    </row>
    <row r="55" spans="1:5" s="163" customFormat="1" ht="12" customHeight="1">
      <c r="A55" s="12" t="s">
        <v>194</v>
      </c>
      <c r="B55" s="165" t="s">
        <v>199</v>
      </c>
      <c r="C55" s="155"/>
      <c r="D55" s="155"/>
      <c r="E55" s="91"/>
    </row>
    <row r="56" spans="1:5" s="163" customFormat="1" ht="12" customHeight="1">
      <c r="A56" s="12" t="s">
        <v>195</v>
      </c>
      <c r="B56" s="165" t="s">
        <v>200</v>
      </c>
      <c r="C56" s="155"/>
      <c r="D56" s="155"/>
      <c r="E56" s="91"/>
    </row>
    <row r="57" spans="1:5" s="163" customFormat="1" ht="12" customHeight="1" thickBot="1">
      <c r="A57" s="14" t="s">
        <v>196</v>
      </c>
      <c r="B57" s="96" t="s">
        <v>201</v>
      </c>
      <c r="C57" s="156"/>
      <c r="D57" s="156"/>
      <c r="E57" s="92"/>
    </row>
    <row r="58" spans="1:5" s="163" customFormat="1" ht="12" customHeight="1" thickBot="1">
      <c r="A58" s="18" t="s">
        <v>120</v>
      </c>
      <c r="B58" s="19" t="s">
        <v>202</v>
      </c>
      <c r="C58" s="151">
        <f>SUM(C59:C61)</f>
        <v>0</v>
      </c>
      <c r="D58" s="151">
        <f>SUM(D59:D61)</f>
        <v>0</v>
      </c>
      <c r="E58" s="87">
        <f>SUM(E59:E61)</f>
        <v>0</v>
      </c>
    </row>
    <row r="59" spans="1:5" s="163" customFormat="1" ht="12" customHeight="1">
      <c r="A59" s="13" t="s">
        <v>61</v>
      </c>
      <c r="B59" s="164" t="s">
        <v>203</v>
      </c>
      <c r="C59" s="153"/>
      <c r="D59" s="153"/>
      <c r="E59" s="89"/>
    </row>
    <row r="60" spans="1:5" s="163" customFormat="1" ht="12" customHeight="1">
      <c r="A60" s="12" t="s">
        <v>62</v>
      </c>
      <c r="B60" s="165" t="s">
        <v>328</v>
      </c>
      <c r="C60" s="152"/>
      <c r="D60" s="152"/>
      <c r="E60" s="88"/>
    </row>
    <row r="61" spans="1:5" s="163" customFormat="1" ht="12" customHeight="1">
      <c r="A61" s="12" t="s">
        <v>206</v>
      </c>
      <c r="B61" s="165" t="s">
        <v>204</v>
      </c>
      <c r="C61" s="152"/>
      <c r="D61" s="152"/>
      <c r="E61" s="88"/>
    </row>
    <row r="62" spans="1:5" s="163" customFormat="1" ht="12" customHeight="1" thickBot="1">
      <c r="A62" s="14" t="s">
        <v>207</v>
      </c>
      <c r="B62" s="96" t="s">
        <v>205</v>
      </c>
      <c r="C62" s="154"/>
      <c r="D62" s="154"/>
      <c r="E62" s="90"/>
    </row>
    <row r="63" spans="1:5" s="163" customFormat="1" ht="12" customHeight="1" thickBot="1">
      <c r="A63" s="18" t="s">
        <v>13</v>
      </c>
      <c r="B63" s="94" t="s">
        <v>208</v>
      </c>
      <c r="C63" s="151">
        <f>SUM(C64:C66)</f>
        <v>0</v>
      </c>
      <c r="D63" s="151">
        <f>SUM(D64:D66)</f>
        <v>0</v>
      </c>
      <c r="E63" s="87">
        <f>SUM(E64:E66)</f>
        <v>0</v>
      </c>
    </row>
    <row r="64" spans="1:5" s="163" customFormat="1" ht="12" customHeight="1">
      <c r="A64" s="13" t="s">
        <v>121</v>
      </c>
      <c r="B64" s="164" t="s">
        <v>210</v>
      </c>
      <c r="C64" s="155"/>
      <c r="D64" s="155"/>
      <c r="E64" s="91"/>
    </row>
    <row r="65" spans="1:5" s="163" customFormat="1" ht="12" customHeight="1">
      <c r="A65" s="12" t="s">
        <v>122</v>
      </c>
      <c r="B65" s="165" t="s">
        <v>329</v>
      </c>
      <c r="C65" s="155"/>
      <c r="D65" s="155"/>
      <c r="E65" s="91"/>
    </row>
    <row r="66" spans="1:5" s="163" customFormat="1" ht="12" customHeight="1">
      <c r="A66" s="12" t="s">
        <v>141</v>
      </c>
      <c r="B66" s="165" t="s">
        <v>211</v>
      </c>
      <c r="C66" s="155"/>
      <c r="D66" s="155"/>
      <c r="E66" s="91"/>
    </row>
    <row r="67" spans="1:5" s="163" customFormat="1" ht="12" customHeight="1" thickBot="1">
      <c r="A67" s="14" t="s">
        <v>209</v>
      </c>
      <c r="B67" s="96" t="s">
        <v>212</v>
      </c>
      <c r="C67" s="155"/>
      <c r="D67" s="155"/>
      <c r="E67" s="91"/>
    </row>
    <row r="68" spans="1:5" s="163" customFormat="1" ht="12" customHeight="1" thickBot="1">
      <c r="A68" s="214" t="s">
        <v>376</v>
      </c>
      <c r="B68" s="19" t="s">
        <v>213</v>
      </c>
      <c r="C68" s="157">
        <f>+C11+C18+C25+C32+C40+C52+C58+C63</f>
        <v>28223269</v>
      </c>
      <c r="D68" s="157">
        <f>+D11+D18+D25+D32+D40+D52+D58+D63</f>
        <v>34685004</v>
      </c>
      <c r="E68" s="193">
        <f>+E11+E18+E25+E32+E40+E52+E58+E63</f>
        <v>33490924</v>
      </c>
    </row>
    <row r="69" spans="1:5" s="163" customFormat="1" ht="12" customHeight="1" thickBot="1">
      <c r="A69" s="205" t="s">
        <v>214</v>
      </c>
      <c r="B69" s="94" t="s">
        <v>215</v>
      </c>
      <c r="C69" s="151">
        <f>SUM(C70:C72)</f>
        <v>0</v>
      </c>
      <c r="D69" s="151">
        <f>SUM(D70:D72)</f>
        <v>0</v>
      </c>
      <c r="E69" s="87">
        <f>SUM(E70:E72)</f>
        <v>0</v>
      </c>
    </row>
    <row r="70" spans="1:5" s="163" customFormat="1" ht="12" customHeight="1">
      <c r="A70" s="13" t="s">
        <v>243</v>
      </c>
      <c r="B70" s="164" t="s">
        <v>216</v>
      </c>
      <c r="C70" s="155"/>
      <c r="D70" s="155"/>
      <c r="E70" s="91"/>
    </row>
    <row r="71" spans="1:5" s="163" customFormat="1" ht="12" customHeight="1">
      <c r="A71" s="12" t="s">
        <v>252</v>
      </c>
      <c r="B71" s="165" t="s">
        <v>217</v>
      </c>
      <c r="C71" s="155"/>
      <c r="D71" s="155"/>
      <c r="E71" s="91"/>
    </row>
    <row r="72" spans="1:5" s="163" customFormat="1" ht="12" customHeight="1" thickBot="1">
      <c r="A72" s="14" t="s">
        <v>253</v>
      </c>
      <c r="B72" s="210" t="s">
        <v>361</v>
      </c>
      <c r="C72" s="356"/>
      <c r="D72" s="155"/>
      <c r="E72" s="91"/>
    </row>
    <row r="73" spans="1:5" s="163" customFormat="1" ht="12" customHeight="1" thickBot="1">
      <c r="A73" s="205" t="s">
        <v>219</v>
      </c>
      <c r="B73" s="94" t="s">
        <v>220</v>
      </c>
      <c r="C73" s="151">
        <f>SUM(C74:C77)</f>
        <v>0</v>
      </c>
      <c r="D73" s="151">
        <f>SUM(D74:D77)</f>
        <v>0</v>
      </c>
      <c r="E73" s="87">
        <f>SUM(E74:E77)</f>
        <v>0</v>
      </c>
    </row>
    <row r="74" spans="1:5" s="163" customFormat="1" ht="12" customHeight="1">
      <c r="A74" s="13" t="s">
        <v>99</v>
      </c>
      <c r="B74" s="338" t="s">
        <v>221</v>
      </c>
      <c r="C74" s="155"/>
      <c r="D74" s="155"/>
      <c r="E74" s="91"/>
    </row>
    <row r="75" spans="1:5" s="163" customFormat="1" ht="12" customHeight="1">
      <c r="A75" s="12" t="s">
        <v>100</v>
      </c>
      <c r="B75" s="338" t="s">
        <v>493</v>
      </c>
      <c r="C75" s="155"/>
      <c r="D75" s="155"/>
      <c r="E75" s="91"/>
    </row>
    <row r="76" spans="1:5" s="163" customFormat="1" ht="12" customHeight="1">
      <c r="A76" s="12" t="s">
        <v>244</v>
      </c>
      <c r="B76" s="338" t="s">
        <v>222</v>
      </c>
      <c r="C76" s="155"/>
      <c r="D76" s="155"/>
      <c r="E76" s="91"/>
    </row>
    <row r="77" spans="1:5" s="163" customFormat="1" ht="12" customHeight="1" thickBot="1">
      <c r="A77" s="14" t="s">
        <v>245</v>
      </c>
      <c r="B77" s="339" t="s">
        <v>494</v>
      </c>
      <c r="C77" s="155"/>
      <c r="D77" s="155"/>
      <c r="E77" s="91"/>
    </row>
    <row r="78" spans="1:5" s="163" customFormat="1" ht="12" customHeight="1" thickBot="1">
      <c r="A78" s="205" t="s">
        <v>223</v>
      </c>
      <c r="B78" s="94" t="s">
        <v>224</v>
      </c>
      <c r="C78" s="151">
        <f>SUM(C79:C80)</f>
        <v>0</v>
      </c>
      <c r="D78" s="151">
        <f>SUM(D79:D80)</f>
        <v>0</v>
      </c>
      <c r="E78" s="87">
        <f>SUM(E79:E80)</f>
        <v>0</v>
      </c>
    </row>
    <row r="79" spans="1:5" s="163" customFormat="1" ht="12" customHeight="1">
      <c r="A79" s="13" t="s">
        <v>246</v>
      </c>
      <c r="B79" s="164" t="s">
        <v>225</v>
      </c>
      <c r="C79" s="155"/>
      <c r="D79" s="155"/>
      <c r="E79" s="91"/>
    </row>
    <row r="80" spans="1:5" s="163" customFormat="1" ht="12" customHeight="1" thickBot="1">
      <c r="A80" s="14" t="s">
        <v>247</v>
      </c>
      <c r="B80" s="96" t="s">
        <v>226</v>
      </c>
      <c r="C80" s="155"/>
      <c r="D80" s="155"/>
      <c r="E80" s="91"/>
    </row>
    <row r="81" spans="1:5" s="163" customFormat="1" ht="12" customHeight="1" thickBot="1">
      <c r="A81" s="205" t="s">
        <v>227</v>
      </c>
      <c r="B81" s="94" t="s">
        <v>228</v>
      </c>
      <c r="C81" s="151">
        <f>SUM(C82:C84)</f>
        <v>0</v>
      </c>
      <c r="D81" s="151">
        <f>SUM(D82:D84)</f>
        <v>0</v>
      </c>
      <c r="E81" s="87">
        <f>SUM(E82:E84)</f>
        <v>0</v>
      </c>
    </row>
    <row r="82" spans="1:5" s="163" customFormat="1" ht="12" customHeight="1">
      <c r="A82" s="13" t="s">
        <v>248</v>
      </c>
      <c r="B82" s="164" t="s">
        <v>229</v>
      </c>
      <c r="C82" s="155"/>
      <c r="D82" s="155"/>
      <c r="E82" s="91"/>
    </row>
    <row r="83" spans="1:5" s="163" customFormat="1" ht="12" customHeight="1">
      <c r="A83" s="12" t="s">
        <v>249</v>
      </c>
      <c r="B83" s="165" t="s">
        <v>230</v>
      </c>
      <c r="C83" s="155"/>
      <c r="D83" s="155"/>
      <c r="E83" s="91"/>
    </row>
    <row r="84" spans="1:5" s="163" customFormat="1" ht="12" customHeight="1" thickBot="1">
      <c r="A84" s="14" t="s">
        <v>250</v>
      </c>
      <c r="B84" s="96" t="s">
        <v>495</v>
      </c>
      <c r="C84" s="155"/>
      <c r="D84" s="155"/>
      <c r="E84" s="91"/>
    </row>
    <row r="85" spans="1:5" s="163" customFormat="1" ht="12" customHeight="1" thickBot="1">
      <c r="A85" s="205" t="s">
        <v>231</v>
      </c>
      <c r="B85" s="94" t="s">
        <v>251</v>
      </c>
      <c r="C85" s="151">
        <f>SUM(C86:C89)</f>
        <v>0</v>
      </c>
      <c r="D85" s="151">
        <f>SUM(D86:D89)</f>
        <v>0</v>
      </c>
      <c r="E85" s="87">
        <f>SUM(E86:E89)</f>
        <v>0</v>
      </c>
    </row>
    <row r="86" spans="1:5" s="163" customFormat="1" ht="12" customHeight="1">
      <c r="A86" s="168" t="s">
        <v>232</v>
      </c>
      <c r="B86" s="164" t="s">
        <v>233</v>
      </c>
      <c r="C86" s="155"/>
      <c r="D86" s="155"/>
      <c r="E86" s="91"/>
    </row>
    <row r="87" spans="1:5" s="163" customFormat="1" ht="12" customHeight="1">
      <c r="A87" s="169" t="s">
        <v>234</v>
      </c>
      <c r="B87" s="165" t="s">
        <v>235</v>
      </c>
      <c r="C87" s="155"/>
      <c r="D87" s="155"/>
      <c r="E87" s="91"/>
    </row>
    <row r="88" spans="1:5" s="163" customFormat="1" ht="12" customHeight="1">
      <c r="A88" s="169" t="s">
        <v>236</v>
      </c>
      <c r="B88" s="165" t="s">
        <v>237</v>
      </c>
      <c r="C88" s="155"/>
      <c r="D88" s="155"/>
      <c r="E88" s="91"/>
    </row>
    <row r="89" spans="1:5" s="163" customFormat="1" ht="12" customHeight="1" thickBot="1">
      <c r="A89" s="170" t="s">
        <v>238</v>
      </c>
      <c r="B89" s="96" t="s">
        <v>239</v>
      </c>
      <c r="C89" s="155"/>
      <c r="D89" s="155"/>
      <c r="E89" s="91"/>
    </row>
    <row r="90" spans="1:5" s="163" customFormat="1" ht="12" customHeight="1" thickBot="1">
      <c r="A90" s="205" t="s">
        <v>240</v>
      </c>
      <c r="B90" s="94" t="s">
        <v>375</v>
      </c>
      <c r="C90" s="207"/>
      <c r="D90" s="207"/>
      <c r="E90" s="208"/>
    </row>
    <row r="91" spans="1:5" s="163" customFormat="1" ht="13.5" customHeight="1" thickBot="1">
      <c r="A91" s="205" t="s">
        <v>242</v>
      </c>
      <c r="B91" s="94" t="s">
        <v>241</v>
      </c>
      <c r="C91" s="207"/>
      <c r="D91" s="207"/>
      <c r="E91" s="208"/>
    </row>
    <row r="92" spans="1:5" s="163" customFormat="1" ht="15.75" customHeight="1" thickBot="1">
      <c r="A92" s="205" t="s">
        <v>254</v>
      </c>
      <c r="B92" s="171" t="s">
        <v>378</v>
      </c>
      <c r="C92" s="758">
        <f>+C69+C73+C78+C81+C85+C91+C90</f>
        <v>0</v>
      </c>
      <c r="D92" s="157">
        <f>+D69+D73+D78+D81+D85+D91+D90</f>
        <v>0</v>
      </c>
      <c r="E92" s="193">
        <f>+E69+E73+E78+E81+E85+E91+E90</f>
        <v>0</v>
      </c>
    </row>
    <row r="93" spans="1:5" s="163" customFormat="1" ht="25.5" customHeight="1" thickBot="1">
      <c r="A93" s="206" t="s">
        <v>377</v>
      </c>
      <c r="B93" s="172" t="s">
        <v>379</v>
      </c>
      <c r="C93" s="157">
        <f>+C68+C92</f>
        <v>28223269</v>
      </c>
      <c r="D93" s="157">
        <f>+D68+D92</f>
        <v>34685004</v>
      </c>
      <c r="E93" s="193">
        <f>+E68+E92</f>
        <v>33490924</v>
      </c>
    </row>
    <row r="94" spans="1:3" s="163" customFormat="1" ht="15" customHeight="1">
      <c r="A94" s="3"/>
      <c r="B94" s="4"/>
      <c r="C94" s="98"/>
    </row>
    <row r="95" spans="1:5" ht="16.5" customHeight="1">
      <c r="A95" s="843" t="s">
        <v>34</v>
      </c>
      <c r="B95" s="843"/>
      <c r="C95" s="843"/>
      <c r="D95" s="843"/>
      <c r="E95" s="843"/>
    </row>
    <row r="96" spans="1:5" s="173" customFormat="1" ht="16.5" customHeight="1" thickBot="1">
      <c r="A96" s="845" t="s">
        <v>102</v>
      </c>
      <c r="B96" s="845"/>
      <c r="C96" s="55"/>
      <c r="E96" s="55" t="str">
        <f>E7</f>
        <v> Forintban!</v>
      </c>
    </row>
    <row r="97" spans="1:5" ht="15.75">
      <c r="A97" s="834" t="s">
        <v>51</v>
      </c>
      <c r="B97" s="836" t="s">
        <v>419</v>
      </c>
      <c r="C97" s="838" t="str">
        <f>+CONCATENATE(LEFT(Z_ÖSSZEFÜGGÉSEK!A6,4),". évi")</f>
        <v>2021. évi</v>
      </c>
      <c r="D97" s="839"/>
      <c r="E97" s="840"/>
    </row>
    <row r="98" spans="1:5" ht="24.75" thickBot="1">
      <c r="A98" s="835"/>
      <c r="B98" s="837"/>
      <c r="C98" s="231" t="s">
        <v>417</v>
      </c>
      <c r="D98" s="230" t="s">
        <v>418</v>
      </c>
      <c r="E98" s="340" t="str">
        <f>CONCATENATE(E9)</f>
        <v>2021. XII. 31.
teljesítés</v>
      </c>
    </row>
    <row r="99" spans="1:5" s="162" customFormat="1" ht="12" customHeight="1" thickBot="1">
      <c r="A99" s="24" t="s">
        <v>384</v>
      </c>
      <c r="B99" s="25" t="s">
        <v>385</v>
      </c>
      <c r="C99" s="25" t="s">
        <v>386</v>
      </c>
      <c r="D99" s="25" t="s">
        <v>388</v>
      </c>
      <c r="E99" s="242" t="s">
        <v>387</v>
      </c>
    </row>
    <row r="100" spans="1:5" ht="12" customHeight="1" thickBot="1">
      <c r="A100" s="20" t="s">
        <v>6</v>
      </c>
      <c r="B100" s="23" t="s">
        <v>337</v>
      </c>
      <c r="C100" s="150">
        <f>C101+C102+C103+C104+C105+C118</f>
        <v>16657385</v>
      </c>
      <c r="D100" s="150">
        <f>D101+D102+D103+D104+D105+D118</f>
        <v>16657385</v>
      </c>
      <c r="E100" s="217">
        <f>E101+E102+E103+E104+E105+E118</f>
        <v>5936985</v>
      </c>
    </row>
    <row r="101" spans="1:5" ht="12" customHeight="1">
      <c r="A101" s="15" t="s">
        <v>63</v>
      </c>
      <c r="B101" s="8" t="s">
        <v>35</v>
      </c>
      <c r="C101" s="716">
        <v>420000</v>
      </c>
      <c r="D101" s="224">
        <v>420000</v>
      </c>
      <c r="E101" s="218"/>
    </row>
    <row r="102" spans="1:5" ht="12" customHeight="1">
      <c r="A102" s="12" t="s">
        <v>64</v>
      </c>
      <c r="B102" s="6" t="s">
        <v>123</v>
      </c>
      <c r="C102" s="581">
        <v>65100</v>
      </c>
      <c r="D102" s="152">
        <v>65100</v>
      </c>
      <c r="E102" s="88"/>
    </row>
    <row r="103" spans="1:5" ht="12" customHeight="1">
      <c r="A103" s="12" t="s">
        <v>65</v>
      </c>
      <c r="B103" s="6" t="s">
        <v>91</v>
      </c>
      <c r="C103" s="715">
        <v>14663100</v>
      </c>
      <c r="D103" s="154">
        <v>14663100</v>
      </c>
      <c r="E103" s="90">
        <v>4807184</v>
      </c>
    </row>
    <row r="104" spans="1:5" ht="12" customHeight="1">
      <c r="A104" s="12" t="s">
        <v>66</v>
      </c>
      <c r="B104" s="9" t="s">
        <v>124</v>
      </c>
      <c r="C104" s="715"/>
      <c r="D104" s="154"/>
      <c r="E104" s="90"/>
    </row>
    <row r="105" spans="1:5" ht="12" customHeight="1">
      <c r="A105" s="12" t="s">
        <v>75</v>
      </c>
      <c r="B105" s="17" t="s">
        <v>125</v>
      </c>
      <c r="C105" s="715">
        <v>1509185</v>
      </c>
      <c r="D105" s="154">
        <v>1509185</v>
      </c>
      <c r="E105" s="90">
        <v>1129801</v>
      </c>
    </row>
    <row r="106" spans="1:5" ht="12" customHeight="1">
      <c r="A106" s="12" t="s">
        <v>67</v>
      </c>
      <c r="B106" s="6" t="s">
        <v>342</v>
      </c>
      <c r="C106" s="154"/>
      <c r="D106" s="154"/>
      <c r="E106" s="90"/>
    </row>
    <row r="107" spans="1:5" ht="12" customHeight="1">
      <c r="A107" s="12" t="s">
        <v>68</v>
      </c>
      <c r="B107" s="59" t="s">
        <v>341</v>
      </c>
      <c r="C107" s="154"/>
      <c r="D107" s="154"/>
      <c r="E107" s="90"/>
    </row>
    <row r="108" spans="1:5" ht="12" customHeight="1">
      <c r="A108" s="12" t="s">
        <v>76</v>
      </c>
      <c r="B108" s="59" t="s">
        <v>340</v>
      </c>
      <c r="C108" s="154"/>
      <c r="D108" s="154"/>
      <c r="E108" s="90"/>
    </row>
    <row r="109" spans="1:5" ht="12" customHeight="1">
      <c r="A109" s="12" t="s">
        <v>77</v>
      </c>
      <c r="B109" s="57" t="s">
        <v>257</v>
      </c>
      <c r="C109" s="154"/>
      <c r="D109" s="154"/>
      <c r="E109" s="90"/>
    </row>
    <row r="110" spans="1:5" ht="12" customHeight="1">
      <c r="A110" s="12" t="s">
        <v>78</v>
      </c>
      <c r="B110" s="58" t="s">
        <v>258</v>
      </c>
      <c r="C110" s="154"/>
      <c r="D110" s="154"/>
      <c r="E110" s="90"/>
    </row>
    <row r="111" spans="1:5" ht="12" customHeight="1">
      <c r="A111" s="12" t="s">
        <v>79</v>
      </c>
      <c r="B111" s="58" t="s">
        <v>259</v>
      </c>
      <c r="C111" s="154"/>
      <c r="D111" s="154"/>
      <c r="E111" s="90"/>
    </row>
    <row r="112" spans="1:5" ht="12" customHeight="1">
      <c r="A112" s="12" t="s">
        <v>81</v>
      </c>
      <c r="B112" s="57" t="s">
        <v>260</v>
      </c>
      <c r="C112" s="154"/>
      <c r="D112" s="154"/>
      <c r="E112" s="90"/>
    </row>
    <row r="113" spans="1:5" ht="12" customHeight="1">
      <c r="A113" s="12" t="s">
        <v>126</v>
      </c>
      <c r="B113" s="57" t="s">
        <v>261</v>
      </c>
      <c r="C113" s="154"/>
      <c r="D113" s="154"/>
      <c r="E113" s="90"/>
    </row>
    <row r="114" spans="1:5" ht="12" customHeight="1">
      <c r="A114" s="12" t="s">
        <v>255</v>
      </c>
      <c r="B114" s="58" t="s">
        <v>262</v>
      </c>
      <c r="C114" s="154"/>
      <c r="D114" s="154"/>
      <c r="E114" s="90"/>
    </row>
    <row r="115" spans="1:5" ht="12" customHeight="1">
      <c r="A115" s="11" t="s">
        <v>256</v>
      </c>
      <c r="B115" s="59" t="s">
        <v>263</v>
      </c>
      <c r="C115" s="154"/>
      <c r="D115" s="154"/>
      <c r="E115" s="90"/>
    </row>
    <row r="116" spans="1:5" ht="12" customHeight="1">
      <c r="A116" s="12" t="s">
        <v>338</v>
      </c>
      <c r="B116" s="59" t="s">
        <v>264</v>
      </c>
      <c r="C116" s="154"/>
      <c r="D116" s="154"/>
      <c r="E116" s="90"/>
    </row>
    <row r="117" spans="1:5" ht="12" customHeight="1">
      <c r="A117" s="14" t="s">
        <v>339</v>
      </c>
      <c r="B117" s="59" t="s">
        <v>265</v>
      </c>
      <c r="C117" s="154">
        <v>1509185</v>
      </c>
      <c r="D117" s="154">
        <v>1509185</v>
      </c>
      <c r="E117" s="90">
        <v>1129801</v>
      </c>
    </row>
    <row r="118" spans="1:5" ht="12" customHeight="1">
      <c r="A118" s="12" t="s">
        <v>343</v>
      </c>
      <c r="B118" s="9" t="s">
        <v>36</v>
      </c>
      <c r="C118" s="152"/>
      <c r="D118" s="152"/>
      <c r="E118" s="88"/>
    </row>
    <row r="119" spans="1:5" ht="12" customHeight="1">
      <c r="A119" s="12" t="s">
        <v>344</v>
      </c>
      <c r="B119" s="6" t="s">
        <v>346</v>
      </c>
      <c r="C119" s="152"/>
      <c r="D119" s="152"/>
      <c r="E119" s="88"/>
    </row>
    <row r="120" spans="1:5" ht="12" customHeight="1" thickBot="1">
      <c r="A120" s="16" t="s">
        <v>345</v>
      </c>
      <c r="B120" s="213" t="s">
        <v>347</v>
      </c>
      <c r="C120" s="225"/>
      <c r="D120" s="225"/>
      <c r="E120" s="219"/>
    </row>
    <row r="121" spans="1:5" ht="12" customHeight="1" thickBot="1">
      <c r="A121" s="211" t="s">
        <v>7</v>
      </c>
      <c r="B121" s="212" t="s">
        <v>266</v>
      </c>
      <c r="C121" s="226">
        <f>+C122+C124+C126</f>
        <v>2000000</v>
      </c>
      <c r="D121" s="151">
        <f>+D122+D124+D126</f>
        <v>2000000</v>
      </c>
      <c r="E121" s="220">
        <f>+E122+E124+E126</f>
        <v>0</v>
      </c>
    </row>
    <row r="122" spans="1:5" ht="12" customHeight="1">
      <c r="A122" s="13" t="s">
        <v>69</v>
      </c>
      <c r="B122" s="6" t="s">
        <v>140</v>
      </c>
      <c r="C122" s="153"/>
      <c r="D122" s="235"/>
      <c r="E122" s="89"/>
    </row>
    <row r="123" spans="1:5" ht="12" customHeight="1">
      <c r="A123" s="13" t="s">
        <v>70</v>
      </c>
      <c r="B123" s="10" t="s">
        <v>270</v>
      </c>
      <c r="C123" s="153"/>
      <c r="D123" s="235"/>
      <c r="E123" s="89"/>
    </row>
    <row r="124" spans="1:5" ht="12" customHeight="1">
      <c r="A124" s="13" t="s">
        <v>71</v>
      </c>
      <c r="B124" s="10" t="s">
        <v>127</v>
      </c>
      <c r="C124" s="152"/>
      <c r="D124" s="236"/>
      <c r="E124" s="88"/>
    </row>
    <row r="125" spans="1:5" ht="12" customHeight="1">
      <c r="A125" s="13" t="s">
        <v>72</v>
      </c>
      <c r="B125" s="10" t="s">
        <v>271</v>
      </c>
      <c r="C125" s="152"/>
      <c r="D125" s="236"/>
      <c r="E125" s="88"/>
    </row>
    <row r="126" spans="1:5" ht="12" customHeight="1">
      <c r="A126" s="13" t="s">
        <v>73</v>
      </c>
      <c r="B126" s="96" t="s">
        <v>142</v>
      </c>
      <c r="C126" s="152">
        <v>2000000</v>
      </c>
      <c r="D126" s="236">
        <v>2000000</v>
      </c>
      <c r="E126" s="88"/>
    </row>
    <row r="127" spans="1:5" ht="12" customHeight="1">
      <c r="A127" s="13" t="s">
        <v>80</v>
      </c>
      <c r="B127" s="95" t="s">
        <v>330</v>
      </c>
      <c r="C127" s="152"/>
      <c r="D127" s="236"/>
      <c r="E127" s="88"/>
    </row>
    <row r="128" spans="1:5" ht="12" customHeight="1">
      <c r="A128" s="13" t="s">
        <v>82</v>
      </c>
      <c r="B128" s="160" t="s">
        <v>276</v>
      </c>
      <c r="C128" s="152"/>
      <c r="D128" s="236"/>
      <c r="E128" s="88"/>
    </row>
    <row r="129" spans="1:5" ht="15.75">
      <c r="A129" s="13" t="s">
        <v>128</v>
      </c>
      <c r="B129" s="58" t="s">
        <v>259</v>
      </c>
      <c r="C129" s="152"/>
      <c r="D129" s="236"/>
      <c r="E129" s="88"/>
    </row>
    <row r="130" spans="1:5" ht="12" customHeight="1">
      <c r="A130" s="13" t="s">
        <v>129</v>
      </c>
      <c r="B130" s="58" t="s">
        <v>275</v>
      </c>
      <c r="C130" s="152"/>
      <c r="D130" s="236"/>
      <c r="E130" s="88"/>
    </row>
    <row r="131" spans="1:5" ht="12" customHeight="1">
      <c r="A131" s="13" t="s">
        <v>130</v>
      </c>
      <c r="B131" s="58" t="s">
        <v>274</v>
      </c>
      <c r="C131" s="152"/>
      <c r="D131" s="236"/>
      <c r="E131" s="88"/>
    </row>
    <row r="132" spans="1:5" ht="12" customHeight="1">
      <c r="A132" s="13" t="s">
        <v>267</v>
      </c>
      <c r="B132" s="58" t="s">
        <v>262</v>
      </c>
      <c r="C132" s="152">
        <v>2000000</v>
      </c>
      <c r="D132" s="236">
        <v>2000000</v>
      </c>
      <c r="E132" s="88"/>
    </row>
    <row r="133" spans="1:5" ht="12" customHeight="1">
      <c r="A133" s="13" t="s">
        <v>268</v>
      </c>
      <c r="B133" s="58" t="s">
        <v>273</v>
      </c>
      <c r="C133" s="152"/>
      <c r="D133" s="236"/>
      <c r="E133" s="88"/>
    </row>
    <row r="134" spans="1:5" ht="16.5" thickBot="1">
      <c r="A134" s="11" t="s">
        <v>269</v>
      </c>
      <c r="B134" s="58" t="s">
        <v>272</v>
      </c>
      <c r="C134" s="154"/>
      <c r="D134" s="237"/>
      <c r="E134" s="90"/>
    </row>
    <row r="135" spans="1:5" ht="12" customHeight="1" thickBot="1">
      <c r="A135" s="18" t="s">
        <v>8</v>
      </c>
      <c r="B135" s="51" t="s">
        <v>348</v>
      </c>
      <c r="C135" s="151">
        <f>+C100+C121</f>
        <v>18657385</v>
      </c>
      <c r="D135" s="234">
        <f>+D100+D121</f>
        <v>18657385</v>
      </c>
      <c r="E135" s="87">
        <f>+E100+E121</f>
        <v>5936985</v>
      </c>
    </row>
    <row r="136" spans="1:5" ht="12" customHeight="1" thickBot="1">
      <c r="A136" s="18" t="s">
        <v>9</v>
      </c>
      <c r="B136" s="51" t="s">
        <v>420</v>
      </c>
      <c r="C136" s="151">
        <f>+C137+C138+C139</f>
        <v>0</v>
      </c>
      <c r="D136" s="234">
        <f>+D137+D138+D139</f>
        <v>0</v>
      </c>
      <c r="E136" s="87">
        <f>+E137+E138+E139</f>
        <v>0</v>
      </c>
    </row>
    <row r="137" spans="1:5" ht="12" customHeight="1">
      <c r="A137" s="13" t="s">
        <v>174</v>
      </c>
      <c r="B137" s="10" t="s">
        <v>356</v>
      </c>
      <c r="C137" s="152"/>
      <c r="D137" s="236"/>
      <c r="E137" s="88"/>
    </row>
    <row r="138" spans="1:5" ht="12" customHeight="1">
      <c r="A138" s="13" t="s">
        <v>175</v>
      </c>
      <c r="B138" s="10" t="s">
        <v>357</v>
      </c>
      <c r="C138" s="152"/>
      <c r="D138" s="236"/>
      <c r="E138" s="88"/>
    </row>
    <row r="139" spans="1:5" ht="12" customHeight="1" thickBot="1">
      <c r="A139" s="11" t="s">
        <v>176</v>
      </c>
      <c r="B139" s="10" t="s">
        <v>358</v>
      </c>
      <c r="C139" s="152"/>
      <c r="D139" s="236"/>
      <c r="E139" s="88"/>
    </row>
    <row r="140" spans="1:5" ht="12" customHeight="1" thickBot="1">
      <c r="A140" s="18" t="s">
        <v>10</v>
      </c>
      <c r="B140" s="51" t="s">
        <v>350</v>
      </c>
      <c r="C140" s="151">
        <f>SUM(C141:C146)</f>
        <v>0</v>
      </c>
      <c r="D140" s="234">
        <f>SUM(D141:D146)</f>
        <v>0</v>
      </c>
      <c r="E140" s="87">
        <f>SUM(E141:E146)</f>
        <v>0</v>
      </c>
    </row>
    <row r="141" spans="1:5" ht="12" customHeight="1">
      <c r="A141" s="13" t="s">
        <v>56</v>
      </c>
      <c r="B141" s="7" t="s">
        <v>359</v>
      </c>
      <c r="C141" s="152"/>
      <c r="D141" s="236"/>
      <c r="E141" s="88"/>
    </row>
    <row r="142" spans="1:5" ht="12" customHeight="1">
      <c r="A142" s="13" t="s">
        <v>57</v>
      </c>
      <c r="B142" s="7" t="s">
        <v>351</v>
      </c>
      <c r="C142" s="152"/>
      <c r="D142" s="236"/>
      <c r="E142" s="88"/>
    </row>
    <row r="143" spans="1:5" ht="12" customHeight="1">
      <c r="A143" s="13" t="s">
        <v>58</v>
      </c>
      <c r="B143" s="7" t="s">
        <v>352</v>
      </c>
      <c r="C143" s="152"/>
      <c r="D143" s="236"/>
      <c r="E143" s="88"/>
    </row>
    <row r="144" spans="1:5" ht="12" customHeight="1">
      <c r="A144" s="13" t="s">
        <v>115</v>
      </c>
      <c r="B144" s="7" t="s">
        <v>353</v>
      </c>
      <c r="C144" s="152"/>
      <c r="D144" s="236"/>
      <c r="E144" s="88"/>
    </row>
    <row r="145" spans="1:5" ht="12" customHeight="1">
      <c r="A145" s="13" t="s">
        <v>116</v>
      </c>
      <c r="B145" s="7" t="s">
        <v>354</v>
      </c>
      <c r="C145" s="152"/>
      <c r="D145" s="236"/>
      <c r="E145" s="88"/>
    </row>
    <row r="146" spans="1:5" ht="12" customHeight="1" thickBot="1">
      <c r="A146" s="16" t="s">
        <v>117</v>
      </c>
      <c r="B146" s="350" t="s">
        <v>355</v>
      </c>
      <c r="C146" s="152"/>
      <c r="D146" s="301"/>
      <c r="E146" s="219"/>
    </row>
    <row r="147" spans="1:5" ht="12" customHeight="1" thickBot="1">
      <c r="A147" s="18" t="s">
        <v>11</v>
      </c>
      <c r="B147" s="51" t="s">
        <v>363</v>
      </c>
      <c r="C147" s="157">
        <f>+C148+C149+C150+C151</f>
        <v>0</v>
      </c>
      <c r="D147" s="238">
        <f>+D148+D149+D150+D151</f>
        <v>0</v>
      </c>
      <c r="E147" s="193">
        <f>+E148+E149+E150+E151</f>
        <v>0</v>
      </c>
    </row>
    <row r="148" spans="1:5" ht="12" customHeight="1">
      <c r="A148" s="13" t="s">
        <v>59</v>
      </c>
      <c r="B148" s="7" t="s">
        <v>277</v>
      </c>
      <c r="C148" s="152"/>
      <c r="D148" s="236"/>
      <c r="E148" s="88"/>
    </row>
    <row r="149" spans="1:5" ht="12" customHeight="1">
      <c r="A149" s="13" t="s">
        <v>60</v>
      </c>
      <c r="B149" s="7" t="s">
        <v>278</v>
      </c>
      <c r="C149" s="152"/>
      <c r="D149" s="236"/>
      <c r="E149" s="88"/>
    </row>
    <row r="150" spans="1:5" ht="12" customHeight="1">
      <c r="A150" s="13" t="s">
        <v>194</v>
      </c>
      <c r="B150" s="7" t="s">
        <v>364</v>
      </c>
      <c r="C150" s="152"/>
      <c r="D150" s="236"/>
      <c r="E150" s="88"/>
    </row>
    <row r="151" spans="1:5" ht="12" customHeight="1" thickBot="1">
      <c r="A151" s="11" t="s">
        <v>195</v>
      </c>
      <c r="B151" s="5" t="s">
        <v>294</v>
      </c>
      <c r="C151" s="152"/>
      <c r="D151" s="236"/>
      <c r="E151" s="88"/>
    </row>
    <row r="152" spans="1:5" ht="12" customHeight="1" thickBot="1">
      <c r="A152" s="18" t="s">
        <v>12</v>
      </c>
      <c r="B152" s="51" t="s">
        <v>365</v>
      </c>
      <c r="C152" s="227">
        <f>SUM(C153:C157)</f>
        <v>0</v>
      </c>
      <c r="D152" s="239">
        <f>SUM(D153:D157)</f>
        <v>0</v>
      </c>
      <c r="E152" s="221">
        <f>SUM(E153:E157)</f>
        <v>0</v>
      </c>
    </row>
    <row r="153" spans="1:5" ht="12" customHeight="1">
      <c r="A153" s="13" t="s">
        <v>61</v>
      </c>
      <c r="B153" s="7" t="s">
        <v>360</v>
      </c>
      <c r="C153" s="152"/>
      <c r="D153" s="236"/>
      <c r="E153" s="88"/>
    </row>
    <row r="154" spans="1:5" ht="12" customHeight="1">
      <c r="A154" s="13" t="s">
        <v>62</v>
      </c>
      <c r="B154" s="7" t="s">
        <v>367</v>
      </c>
      <c r="C154" s="152"/>
      <c r="D154" s="236"/>
      <c r="E154" s="88"/>
    </row>
    <row r="155" spans="1:5" ht="12" customHeight="1">
      <c r="A155" s="13" t="s">
        <v>206</v>
      </c>
      <c r="B155" s="7" t="s">
        <v>362</v>
      </c>
      <c r="C155" s="152"/>
      <c r="D155" s="236"/>
      <c r="E155" s="88"/>
    </row>
    <row r="156" spans="1:5" ht="12" customHeight="1">
      <c r="A156" s="13" t="s">
        <v>207</v>
      </c>
      <c r="B156" s="7" t="s">
        <v>368</v>
      </c>
      <c r="C156" s="152"/>
      <c r="D156" s="236"/>
      <c r="E156" s="88"/>
    </row>
    <row r="157" spans="1:5" ht="12" customHeight="1" thickBot="1">
      <c r="A157" s="13" t="s">
        <v>366</v>
      </c>
      <c r="B157" s="7" t="s">
        <v>369</v>
      </c>
      <c r="C157" s="152"/>
      <c r="D157" s="236"/>
      <c r="E157" s="88"/>
    </row>
    <row r="158" spans="1:5" ht="12" customHeight="1" thickBot="1">
      <c r="A158" s="18" t="s">
        <v>13</v>
      </c>
      <c r="B158" s="51" t="s">
        <v>370</v>
      </c>
      <c r="C158" s="228"/>
      <c r="D158" s="240"/>
      <c r="E158" s="222"/>
    </row>
    <row r="159" spans="1:5" ht="12" customHeight="1" thickBot="1">
      <c r="A159" s="18" t="s">
        <v>14</v>
      </c>
      <c r="B159" s="51" t="s">
        <v>371</v>
      </c>
      <c r="C159" s="228"/>
      <c r="D159" s="240"/>
      <c r="E159" s="222"/>
    </row>
    <row r="160" spans="1:6" ht="15" customHeight="1" thickBot="1">
      <c r="A160" s="18" t="s">
        <v>15</v>
      </c>
      <c r="B160" s="51" t="s">
        <v>373</v>
      </c>
      <c r="C160" s="229">
        <f>+C136+C140+C147+C152+C158+C159</f>
        <v>0</v>
      </c>
      <c r="D160" s="241">
        <f>+D136+D140+D147+D152+D158+D159</f>
        <v>0</v>
      </c>
      <c r="E160" s="223">
        <f>+E136+E140+E147+E152+E158+E159</f>
        <v>0</v>
      </c>
      <c r="F160" s="174"/>
    </row>
    <row r="161" spans="1:5" s="163" customFormat="1" ht="12.75" customHeight="1" thickBot="1">
      <c r="A161" s="97" t="s">
        <v>16</v>
      </c>
      <c r="B161" s="138" t="s">
        <v>372</v>
      </c>
      <c r="C161" s="229">
        <f>+C135+C160</f>
        <v>18657385</v>
      </c>
      <c r="D161" s="241">
        <f>+D135+D160</f>
        <v>18657385</v>
      </c>
      <c r="E161" s="223">
        <f>+E135+E160</f>
        <v>5936985</v>
      </c>
    </row>
    <row r="162" spans="3:4" ht="15.75">
      <c r="C162" s="547">
        <f>C93-C161</f>
        <v>9565884</v>
      </c>
      <c r="D162" s="547">
        <f>D93-D161</f>
        <v>16027619</v>
      </c>
    </row>
    <row r="163" spans="1:5" ht="15.75">
      <c r="A163" s="841" t="s">
        <v>279</v>
      </c>
      <c r="B163" s="841"/>
      <c r="C163" s="841"/>
      <c r="D163" s="841"/>
      <c r="E163" s="841"/>
    </row>
    <row r="164" spans="1:5" ht="15" customHeight="1" thickBot="1">
      <c r="A164" s="833" t="s">
        <v>103</v>
      </c>
      <c r="B164" s="833"/>
      <c r="C164" s="99"/>
      <c r="E164" s="99" t="str">
        <f>E96</f>
        <v> Forintban!</v>
      </c>
    </row>
    <row r="165" spans="1:5" ht="25.5" customHeight="1" thickBot="1">
      <c r="A165" s="18">
        <v>1</v>
      </c>
      <c r="B165" s="22" t="s">
        <v>374</v>
      </c>
      <c r="C165" s="233">
        <f>+C68-C135</f>
        <v>9565884</v>
      </c>
      <c r="D165" s="151">
        <f>+D68-D135</f>
        <v>16027619</v>
      </c>
      <c r="E165" s="87">
        <f>+E68-E135</f>
        <v>27553939</v>
      </c>
    </row>
    <row r="166" spans="1:5" ht="32.25" customHeight="1" thickBot="1">
      <c r="A166" s="18" t="s">
        <v>7</v>
      </c>
      <c r="B166" s="22" t="s">
        <v>380</v>
      </c>
      <c r="C166" s="151">
        <f>+C92-C160</f>
        <v>0</v>
      </c>
      <c r="D166" s="151">
        <f>+D92-D160</f>
        <v>0</v>
      </c>
      <c r="E166" s="87">
        <f>+E92-E160</f>
        <v>0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61" r:id="rId1"/>
  <rowBreaks count="1" manualBreakCount="1">
    <brk id="93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view="pageBreakPreview" zoomScaleNormal="120" zoomScaleSheetLayoutView="100" workbookViewId="0" topLeftCell="A139">
      <selection activeCell="A3" sqref="A3:E3"/>
    </sheetView>
  </sheetViews>
  <sheetFormatPr defaultColWidth="9.00390625" defaultRowHeight="12.75"/>
  <cols>
    <col min="1" max="1" width="9.50390625" style="139" customWidth="1"/>
    <col min="2" max="2" width="65.875" style="139" customWidth="1"/>
    <col min="3" max="3" width="17.875" style="140" customWidth="1"/>
    <col min="4" max="5" width="17.875" style="161" customWidth="1"/>
    <col min="6" max="16384" width="9.375" style="161" customWidth="1"/>
  </cols>
  <sheetData>
    <row r="1" spans="1:5" ht="15.75">
      <c r="A1" s="351"/>
      <c r="B1" s="828" t="str">
        <f>CONCATENATE("4. melléklet ",Z_ALAPADATOK!A7," ",Z_ALAPADATOK!B7," ",Z_ALAPADATOK!C7," ",Z_ALAPADATOK!D7," ",Z_ALAPADATOK!E7," ",Z_ALAPADATOK!F7," ",Z_ALAPADATOK!G7," ",Z_ALAPADATOK!H7)</f>
        <v>4. melléklet a 3 / 2022. ( V. 26. ) önkormányzati rendelethez</v>
      </c>
      <c r="C1" s="829"/>
      <c r="D1" s="829"/>
      <c r="E1" s="829"/>
    </row>
    <row r="2" spans="1:5" ht="15.75">
      <c r="A2" s="830" t="str">
        <f>CONCATENATE(Z_ALAPADATOK!A3)</f>
        <v>Balatonvilágos Község Önkormányzata</v>
      </c>
      <c r="B2" s="831"/>
      <c r="C2" s="831"/>
      <c r="D2" s="831"/>
      <c r="E2" s="831"/>
    </row>
    <row r="3" spans="1:5" ht="15.75">
      <c r="A3" s="846" t="s">
        <v>723</v>
      </c>
      <c r="B3" s="846"/>
      <c r="C3" s="846"/>
      <c r="D3" s="846"/>
      <c r="E3" s="846"/>
    </row>
    <row r="4" spans="1:5" ht="17.25" customHeight="1">
      <c r="A4" s="846" t="s">
        <v>615</v>
      </c>
      <c r="B4" s="846"/>
      <c r="C4" s="846"/>
      <c r="D4" s="846"/>
      <c r="E4" s="846"/>
    </row>
    <row r="5" spans="1:5" ht="15.75">
      <c r="A5" s="351"/>
      <c r="B5" s="351"/>
      <c r="C5" s="352"/>
      <c r="D5" s="353"/>
      <c r="E5" s="353"/>
    </row>
    <row r="6" spans="1:5" ht="15.75" customHeight="1">
      <c r="A6" s="842" t="s">
        <v>3</v>
      </c>
      <c r="B6" s="842"/>
      <c r="C6" s="842"/>
      <c r="D6" s="842"/>
      <c r="E6" s="842"/>
    </row>
    <row r="7" spans="1:5" ht="15.75" customHeight="1" thickBot="1">
      <c r="A7" s="844" t="s">
        <v>101</v>
      </c>
      <c r="B7" s="844"/>
      <c r="C7" s="354"/>
      <c r="D7" s="353"/>
      <c r="E7" s="354" t="str">
        <f>CONCATENATE(3!E7)</f>
        <v> Forintban!</v>
      </c>
    </row>
    <row r="8" spans="1:5" ht="15.75">
      <c r="A8" s="834" t="s">
        <v>51</v>
      </c>
      <c r="B8" s="836" t="s">
        <v>5</v>
      </c>
      <c r="C8" s="838" t="str">
        <f>+CONCATENATE(LEFT(Z_ÖSSZEFÜGGÉSEK!A6,4),". évi")</f>
        <v>2021. évi</v>
      </c>
      <c r="D8" s="839"/>
      <c r="E8" s="840"/>
    </row>
    <row r="9" spans="1:5" ht="24.75" thickBot="1">
      <c r="A9" s="835"/>
      <c r="B9" s="837"/>
      <c r="C9" s="231" t="s">
        <v>417</v>
      </c>
      <c r="D9" s="230" t="s">
        <v>418</v>
      </c>
      <c r="E9" s="340" t="str">
        <f>CONCATENATE(3!E9)</f>
        <v>2021. XII. 31.
teljesítés</v>
      </c>
    </row>
    <row r="10" spans="1:5" s="162" customFormat="1" ht="12" customHeight="1" thickBot="1">
      <c r="A10" s="158" t="s">
        <v>384</v>
      </c>
      <c r="B10" s="159" t="s">
        <v>385</v>
      </c>
      <c r="C10" s="159" t="s">
        <v>386</v>
      </c>
      <c r="D10" s="159" t="s">
        <v>388</v>
      </c>
      <c r="E10" s="232" t="s">
        <v>387</v>
      </c>
    </row>
    <row r="11" spans="1:5" s="163" customFormat="1" ht="12" customHeight="1" thickBot="1">
      <c r="A11" s="18" t="s">
        <v>6</v>
      </c>
      <c r="B11" s="19" t="s">
        <v>159</v>
      </c>
      <c r="C11" s="151">
        <f>+C12+C13+C14+C15+C16+C17</f>
        <v>0</v>
      </c>
      <c r="D11" s="151">
        <f>+D12+D13+D14+D15+D16+D17</f>
        <v>0</v>
      </c>
      <c r="E11" s="87">
        <f>+E12+E13+E14+E15+E16+E17</f>
        <v>0</v>
      </c>
    </row>
    <row r="12" spans="1:5" s="163" customFormat="1" ht="12" customHeight="1">
      <c r="A12" s="13" t="s">
        <v>63</v>
      </c>
      <c r="B12" s="164" t="s">
        <v>160</v>
      </c>
      <c r="C12" s="153"/>
      <c r="D12" s="153"/>
      <c r="E12" s="89"/>
    </row>
    <row r="13" spans="1:5" s="163" customFormat="1" ht="12" customHeight="1">
      <c r="A13" s="12" t="s">
        <v>64</v>
      </c>
      <c r="B13" s="165" t="s">
        <v>161</v>
      </c>
      <c r="C13" s="152"/>
      <c r="D13" s="152"/>
      <c r="E13" s="88"/>
    </row>
    <row r="14" spans="1:5" s="163" customFormat="1" ht="12" customHeight="1">
      <c r="A14" s="12" t="s">
        <v>65</v>
      </c>
      <c r="B14" s="165" t="s">
        <v>162</v>
      </c>
      <c r="C14" s="152"/>
      <c r="D14" s="152"/>
      <c r="E14" s="88"/>
    </row>
    <row r="15" spans="1:5" s="163" customFormat="1" ht="12" customHeight="1">
      <c r="A15" s="12" t="s">
        <v>66</v>
      </c>
      <c r="B15" s="165" t="s">
        <v>163</v>
      </c>
      <c r="C15" s="152"/>
      <c r="D15" s="152"/>
      <c r="E15" s="88"/>
    </row>
    <row r="16" spans="1:5" s="163" customFormat="1" ht="12" customHeight="1">
      <c r="A16" s="12" t="s">
        <v>98</v>
      </c>
      <c r="B16" s="95" t="s">
        <v>332</v>
      </c>
      <c r="C16" s="152"/>
      <c r="D16" s="152"/>
      <c r="E16" s="88"/>
    </row>
    <row r="17" spans="1:5" s="163" customFormat="1" ht="12" customHeight="1" thickBot="1">
      <c r="A17" s="14" t="s">
        <v>67</v>
      </c>
      <c r="B17" s="96" t="s">
        <v>333</v>
      </c>
      <c r="C17" s="152"/>
      <c r="D17" s="152"/>
      <c r="E17" s="88"/>
    </row>
    <row r="18" spans="1:5" s="163" customFormat="1" ht="12" customHeight="1" thickBot="1">
      <c r="A18" s="18" t="s">
        <v>7</v>
      </c>
      <c r="B18" s="94" t="s">
        <v>164</v>
      </c>
      <c r="C18" s="151">
        <f>+C19+C20+C21+C22+C23</f>
        <v>0</v>
      </c>
      <c r="D18" s="151">
        <f>+D19+D20+D21+D22+D23</f>
        <v>0</v>
      </c>
      <c r="E18" s="87">
        <f>+E19+E20+E21+E22+E23</f>
        <v>0</v>
      </c>
    </row>
    <row r="19" spans="1:5" s="163" customFormat="1" ht="12" customHeight="1">
      <c r="A19" s="13" t="s">
        <v>69</v>
      </c>
      <c r="B19" s="164" t="s">
        <v>165</v>
      </c>
      <c r="C19" s="153"/>
      <c r="D19" s="153"/>
      <c r="E19" s="89"/>
    </row>
    <row r="20" spans="1:5" s="163" customFormat="1" ht="12" customHeight="1">
      <c r="A20" s="12" t="s">
        <v>70</v>
      </c>
      <c r="B20" s="165" t="s">
        <v>166</v>
      </c>
      <c r="C20" s="152"/>
      <c r="D20" s="152"/>
      <c r="E20" s="88"/>
    </row>
    <row r="21" spans="1:5" s="163" customFormat="1" ht="12" customHeight="1">
      <c r="A21" s="12" t="s">
        <v>71</v>
      </c>
      <c r="B21" s="165" t="s">
        <v>324</v>
      </c>
      <c r="C21" s="152"/>
      <c r="D21" s="152"/>
      <c r="E21" s="88"/>
    </row>
    <row r="22" spans="1:5" s="163" customFormat="1" ht="12" customHeight="1">
      <c r="A22" s="12" t="s">
        <v>72</v>
      </c>
      <c r="B22" s="165" t="s">
        <v>325</v>
      </c>
      <c r="C22" s="152"/>
      <c r="D22" s="152"/>
      <c r="E22" s="88"/>
    </row>
    <row r="23" spans="1:5" s="163" customFormat="1" ht="12" customHeight="1">
      <c r="A23" s="12" t="s">
        <v>73</v>
      </c>
      <c r="B23" s="165" t="s">
        <v>167</v>
      </c>
      <c r="C23" s="152"/>
      <c r="D23" s="152"/>
      <c r="E23" s="88"/>
    </row>
    <row r="24" spans="1:5" s="163" customFormat="1" ht="12" customHeight="1" thickBot="1">
      <c r="A24" s="14" t="s">
        <v>80</v>
      </c>
      <c r="B24" s="96" t="s">
        <v>168</v>
      </c>
      <c r="C24" s="154"/>
      <c r="D24" s="154"/>
      <c r="E24" s="90"/>
    </row>
    <row r="25" spans="1:5" s="163" customFormat="1" ht="12" customHeight="1" thickBot="1">
      <c r="A25" s="18" t="s">
        <v>8</v>
      </c>
      <c r="B25" s="19" t="s">
        <v>169</v>
      </c>
      <c r="C25" s="151">
        <f>+C26+C27+C28+C29+C30</f>
        <v>0</v>
      </c>
      <c r="D25" s="151">
        <f>+D26+D27+D28+D29+D30</f>
        <v>0</v>
      </c>
      <c r="E25" s="87">
        <f>+E26+E27+E28+E29+E30</f>
        <v>0</v>
      </c>
    </row>
    <row r="26" spans="1:5" s="163" customFormat="1" ht="12" customHeight="1">
      <c r="A26" s="13" t="s">
        <v>52</v>
      </c>
      <c r="B26" s="164" t="s">
        <v>170</v>
      </c>
      <c r="C26" s="153"/>
      <c r="D26" s="153"/>
      <c r="E26" s="89"/>
    </row>
    <row r="27" spans="1:5" s="163" customFormat="1" ht="12" customHeight="1">
      <c r="A27" s="12" t="s">
        <v>53</v>
      </c>
      <c r="B27" s="165" t="s">
        <v>171</v>
      </c>
      <c r="C27" s="152"/>
      <c r="D27" s="152"/>
      <c r="E27" s="88"/>
    </row>
    <row r="28" spans="1:5" s="163" customFormat="1" ht="12" customHeight="1">
      <c r="A28" s="12" t="s">
        <v>54</v>
      </c>
      <c r="B28" s="165" t="s">
        <v>326</v>
      </c>
      <c r="C28" s="152"/>
      <c r="D28" s="152"/>
      <c r="E28" s="88"/>
    </row>
    <row r="29" spans="1:5" s="163" customFormat="1" ht="12" customHeight="1">
      <c r="A29" s="12" t="s">
        <v>55</v>
      </c>
      <c r="B29" s="165" t="s">
        <v>327</v>
      </c>
      <c r="C29" s="152"/>
      <c r="D29" s="152"/>
      <c r="E29" s="88"/>
    </row>
    <row r="30" spans="1:5" s="163" customFormat="1" ht="12" customHeight="1">
      <c r="A30" s="12" t="s">
        <v>111</v>
      </c>
      <c r="B30" s="165" t="s">
        <v>172</v>
      </c>
      <c r="C30" s="152"/>
      <c r="D30" s="152"/>
      <c r="E30" s="88"/>
    </row>
    <row r="31" spans="1:5" s="163" customFormat="1" ht="12" customHeight="1" thickBot="1">
      <c r="A31" s="14" t="s">
        <v>112</v>
      </c>
      <c r="B31" s="166" t="s">
        <v>173</v>
      </c>
      <c r="C31" s="154"/>
      <c r="D31" s="154"/>
      <c r="E31" s="90"/>
    </row>
    <row r="32" spans="1:5" s="163" customFormat="1" ht="12" customHeight="1" thickBot="1">
      <c r="A32" s="18" t="s">
        <v>113</v>
      </c>
      <c r="B32" s="19" t="s">
        <v>478</v>
      </c>
      <c r="C32" s="157">
        <f>SUM(C33:C39)</f>
        <v>0</v>
      </c>
      <c r="D32" s="157">
        <f>SUM(D33:D39)</f>
        <v>0</v>
      </c>
      <c r="E32" s="193">
        <f>SUM(E33:E39)</f>
        <v>0</v>
      </c>
    </row>
    <row r="33" spans="1:5" s="163" customFormat="1" ht="12" customHeight="1">
      <c r="A33" s="13" t="s">
        <v>174</v>
      </c>
      <c r="B33" s="164" t="s">
        <v>479</v>
      </c>
      <c r="C33" s="153">
        <f>+C34+C35+C36</f>
        <v>0</v>
      </c>
      <c r="D33" s="153">
        <f>+D34+D35+D36</f>
        <v>0</v>
      </c>
      <c r="E33" s="89">
        <f>+E34+E35+E36</f>
        <v>0</v>
      </c>
    </row>
    <row r="34" spans="1:5" s="163" customFormat="1" ht="12" customHeight="1">
      <c r="A34" s="12" t="s">
        <v>175</v>
      </c>
      <c r="B34" s="165" t="s">
        <v>480</v>
      </c>
      <c r="C34" s="152"/>
      <c r="D34" s="152"/>
      <c r="E34" s="88"/>
    </row>
    <row r="35" spans="1:5" s="163" customFormat="1" ht="12" customHeight="1">
      <c r="A35" s="12" t="s">
        <v>176</v>
      </c>
      <c r="B35" s="165" t="s">
        <v>481</v>
      </c>
      <c r="C35" s="152"/>
      <c r="D35" s="152"/>
      <c r="E35" s="88"/>
    </row>
    <row r="36" spans="1:5" s="163" customFormat="1" ht="12" customHeight="1">
      <c r="A36" s="12" t="s">
        <v>177</v>
      </c>
      <c r="B36" s="165" t="s">
        <v>482</v>
      </c>
      <c r="C36" s="152"/>
      <c r="D36" s="152"/>
      <c r="E36" s="88"/>
    </row>
    <row r="37" spans="1:5" s="163" customFormat="1" ht="12" customHeight="1">
      <c r="A37" s="12" t="s">
        <v>483</v>
      </c>
      <c r="B37" s="165" t="s">
        <v>178</v>
      </c>
      <c r="C37" s="152"/>
      <c r="D37" s="152"/>
      <c r="E37" s="88"/>
    </row>
    <row r="38" spans="1:5" s="163" customFormat="1" ht="12" customHeight="1">
      <c r="A38" s="12" t="s">
        <v>484</v>
      </c>
      <c r="B38" s="165" t="s">
        <v>179</v>
      </c>
      <c r="C38" s="152"/>
      <c r="D38" s="152"/>
      <c r="E38" s="88"/>
    </row>
    <row r="39" spans="1:5" s="163" customFormat="1" ht="12" customHeight="1" thickBot="1">
      <c r="A39" s="14" t="s">
        <v>485</v>
      </c>
      <c r="B39" s="310" t="s">
        <v>180</v>
      </c>
      <c r="C39" s="154"/>
      <c r="D39" s="154"/>
      <c r="E39" s="90"/>
    </row>
    <row r="40" spans="1:5" s="163" customFormat="1" ht="12" customHeight="1" thickBot="1">
      <c r="A40" s="18" t="s">
        <v>10</v>
      </c>
      <c r="B40" s="19" t="s">
        <v>334</v>
      </c>
      <c r="C40" s="151">
        <f>SUM(C41:C51)</f>
        <v>0</v>
      </c>
      <c r="D40" s="151">
        <f>SUM(D41:D51)</f>
        <v>0</v>
      </c>
      <c r="E40" s="87">
        <f>SUM(E41:E51)</f>
        <v>0</v>
      </c>
    </row>
    <row r="41" spans="1:5" s="163" customFormat="1" ht="12" customHeight="1">
      <c r="A41" s="13" t="s">
        <v>56</v>
      </c>
      <c r="B41" s="164" t="s">
        <v>183</v>
      </c>
      <c r="C41" s="153"/>
      <c r="D41" s="153"/>
      <c r="E41" s="89"/>
    </row>
    <row r="42" spans="1:5" s="163" customFormat="1" ht="12" customHeight="1">
      <c r="A42" s="12" t="s">
        <v>57</v>
      </c>
      <c r="B42" s="165" t="s">
        <v>184</v>
      </c>
      <c r="C42" s="152"/>
      <c r="D42" s="152"/>
      <c r="E42" s="88"/>
    </row>
    <row r="43" spans="1:5" s="163" customFormat="1" ht="12" customHeight="1">
      <c r="A43" s="12" t="s">
        <v>58</v>
      </c>
      <c r="B43" s="165" t="s">
        <v>185</v>
      </c>
      <c r="C43" s="152"/>
      <c r="D43" s="152"/>
      <c r="E43" s="88"/>
    </row>
    <row r="44" spans="1:5" s="163" customFormat="1" ht="12" customHeight="1">
      <c r="A44" s="12" t="s">
        <v>115</v>
      </c>
      <c r="B44" s="165" t="s">
        <v>186</v>
      </c>
      <c r="C44" s="152"/>
      <c r="D44" s="152"/>
      <c r="E44" s="88"/>
    </row>
    <row r="45" spans="1:5" s="163" customFormat="1" ht="12" customHeight="1">
      <c r="A45" s="12" t="s">
        <v>116</v>
      </c>
      <c r="B45" s="165" t="s">
        <v>187</v>
      </c>
      <c r="C45" s="152"/>
      <c r="D45" s="152"/>
      <c r="E45" s="88"/>
    </row>
    <row r="46" spans="1:5" s="163" customFormat="1" ht="12" customHeight="1">
      <c r="A46" s="12" t="s">
        <v>117</v>
      </c>
      <c r="B46" s="165" t="s">
        <v>188</v>
      </c>
      <c r="C46" s="152"/>
      <c r="D46" s="152"/>
      <c r="E46" s="88"/>
    </row>
    <row r="47" spans="1:5" s="163" customFormat="1" ht="12" customHeight="1">
      <c r="A47" s="12" t="s">
        <v>118</v>
      </c>
      <c r="B47" s="165" t="s">
        <v>189</v>
      </c>
      <c r="C47" s="152"/>
      <c r="D47" s="152"/>
      <c r="E47" s="88"/>
    </row>
    <row r="48" spans="1:5" s="163" customFormat="1" ht="12" customHeight="1">
      <c r="A48" s="12" t="s">
        <v>119</v>
      </c>
      <c r="B48" s="165" t="s">
        <v>486</v>
      </c>
      <c r="C48" s="152"/>
      <c r="D48" s="152"/>
      <c r="E48" s="88"/>
    </row>
    <row r="49" spans="1:5" s="163" customFormat="1" ht="12" customHeight="1">
      <c r="A49" s="12" t="s">
        <v>181</v>
      </c>
      <c r="B49" s="165" t="s">
        <v>191</v>
      </c>
      <c r="C49" s="155"/>
      <c r="D49" s="155"/>
      <c r="E49" s="91"/>
    </row>
    <row r="50" spans="1:5" s="163" customFormat="1" ht="12" customHeight="1">
      <c r="A50" s="14" t="s">
        <v>182</v>
      </c>
      <c r="B50" s="166" t="s">
        <v>336</v>
      </c>
      <c r="C50" s="156"/>
      <c r="D50" s="156"/>
      <c r="E50" s="92"/>
    </row>
    <row r="51" spans="1:5" s="163" customFormat="1" ht="12" customHeight="1" thickBot="1">
      <c r="A51" s="14" t="s">
        <v>335</v>
      </c>
      <c r="B51" s="96" t="s">
        <v>192</v>
      </c>
      <c r="C51" s="156"/>
      <c r="D51" s="156"/>
      <c r="E51" s="92"/>
    </row>
    <row r="52" spans="1:5" s="163" customFormat="1" ht="12" customHeight="1" thickBot="1">
      <c r="A52" s="18" t="s">
        <v>11</v>
      </c>
      <c r="B52" s="19" t="s">
        <v>193</v>
      </c>
      <c r="C52" s="151">
        <f>SUM(C53:C57)</f>
        <v>0</v>
      </c>
      <c r="D52" s="151">
        <f>SUM(D53:D57)</f>
        <v>0</v>
      </c>
      <c r="E52" s="87">
        <f>SUM(E53:E57)</f>
        <v>0</v>
      </c>
    </row>
    <row r="53" spans="1:5" s="163" customFormat="1" ht="12" customHeight="1">
      <c r="A53" s="13" t="s">
        <v>59</v>
      </c>
      <c r="B53" s="164" t="s">
        <v>197</v>
      </c>
      <c r="C53" s="204"/>
      <c r="D53" s="204"/>
      <c r="E53" s="93"/>
    </row>
    <row r="54" spans="1:5" s="163" customFormat="1" ht="12" customHeight="1">
      <c r="A54" s="12" t="s">
        <v>60</v>
      </c>
      <c r="B54" s="165" t="s">
        <v>198</v>
      </c>
      <c r="C54" s="155"/>
      <c r="D54" s="155"/>
      <c r="E54" s="91"/>
    </row>
    <row r="55" spans="1:5" s="163" customFormat="1" ht="12" customHeight="1">
      <c r="A55" s="12" t="s">
        <v>194</v>
      </c>
      <c r="B55" s="165" t="s">
        <v>199</v>
      </c>
      <c r="C55" s="155"/>
      <c r="D55" s="155"/>
      <c r="E55" s="91"/>
    </row>
    <row r="56" spans="1:5" s="163" customFormat="1" ht="12" customHeight="1">
      <c r="A56" s="12" t="s">
        <v>195</v>
      </c>
      <c r="B56" s="165" t="s">
        <v>200</v>
      </c>
      <c r="C56" s="155"/>
      <c r="D56" s="155"/>
      <c r="E56" s="91"/>
    </row>
    <row r="57" spans="1:5" s="163" customFormat="1" ht="12" customHeight="1" thickBot="1">
      <c r="A57" s="14" t="s">
        <v>196</v>
      </c>
      <c r="B57" s="96" t="s">
        <v>201</v>
      </c>
      <c r="C57" s="156"/>
      <c r="D57" s="156"/>
      <c r="E57" s="92"/>
    </row>
    <row r="58" spans="1:5" s="163" customFormat="1" ht="12" customHeight="1" thickBot="1">
      <c r="A58" s="18" t="s">
        <v>120</v>
      </c>
      <c r="B58" s="19" t="s">
        <v>202</v>
      </c>
      <c r="C58" s="151">
        <f>SUM(C59:C61)</f>
        <v>0</v>
      </c>
      <c r="D58" s="151">
        <f>SUM(D59:D61)</f>
        <v>0</v>
      </c>
      <c r="E58" s="87">
        <f>SUM(E59:E61)</f>
        <v>0</v>
      </c>
    </row>
    <row r="59" spans="1:5" s="163" customFormat="1" ht="12" customHeight="1">
      <c r="A59" s="13" t="s">
        <v>61</v>
      </c>
      <c r="B59" s="164" t="s">
        <v>203</v>
      </c>
      <c r="C59" s="153"/>
      <c r="D59" s="153"/>
      <c r="E59" s="89"/>
    </row>
    <row r="60" spans="1:5" s="163" customFormat="1" ht="12" customHeight="1">
      <c r="A60" s="12" t="s">
        <v>62</v>
      </c>
      <c r="B60" s="165" t="s">
        <v>328</v>
      </c>
      <c r="C60" s="152"/>
      <c r="D60" s="152"/>
      <c r="E60" s="88"/>
    </row>
    <row r="61" spans="1:5" s="163" customFormat="1" ht="12" customHeight="1">
      <c r="A61" s="12" t="s">
        <v>206</v>
      </c>
      <c r="B61" s="165" t="s">
        <v>204</v>
      </c>
      <c r="C61" s="152"/>
      <c r="D61" s="152"/>
      <c r="E61" s="88"/>
    </row>
    <row r="62" spans="1:5" s="163" customFormat="1" ht="12" customHeight="1" thickBot="1">
      <c r="A62" s="14" t="s">
        <v>207</v>
      </c>
      <c r="B62" s="96" t="s">
        <v>205</v>
      </c>
      <c r="C62" s="154"/>
      <c r="D62" s="154"/>
      <c r="E62" s="90"/>
    </row>
    <row r="63" spans="1:5" s="163" customFormat="1" ht="12" customHeight="1" thickBot="1">
      <c r="A63" s="18" t="s">
        <v>13</v>
      </c>
      <c r="B63" s="94" t="s">
        <v>208</v>
      </c>
      <c r="C63" s="151">
        <f>SUM(C64:C66)</f>
        <v>0</v>
      </c>
      <c r="D63" s="151">
        <f>SUM(D64:D66)</f>
        <v>0</v>
      </c>
      <c r="E63" s="87">
        <f>SUM(E64:E66)</f>
        <v>0</v>
      </c>
    </row>
    <row r="64" spans="1:5" s="163" customFormat="1" ht="12" customHeight="1">
      <c r="A64" s="13" t="s">
        <v>121</v>
      </c>
      <c r="B64" s="164" t="s">
        <v>210</v>
      </c>
      <c r="C64" s="155"/>
      <c r="D64" s="155"/>
      <c r="E64" s="91"/>
    </row>
    <row r="65" spans="1:5" s="163" customFormat="1" ht="12" customHeight="1">
      <c r="A65" s="12" t="s">
        <v>122</v>
      </c>
      <c r="B65" s="165" t="s">
        <v>329</v>
      </c>
      <c r="C65" s="155"/>
      <c r="D65" s="155"/>
      <c r="E65" s="91"/>
    </row>
    <row r="66" spans="1:5" s="163" customFormat="1" ht="12" customHeight="1">
      <c r="A66" s="12" t="s">
        <v>141</v>
      </c>
      <c r="B66" s="165" t="s">
        <v>211</v>
      </c>
      <c r="C66" s="155"/>
      <c r="D66" s="155"/>
      <c r="E66" s="91"/>
    </row>
    <row r="67" spans="1:5" s="163" customFormat="1" ht="12" customHeight="1" thickBot="1">
      <c r="A67" s="14" t="s">
        <v>209</v>
      </c>
      <c r="B67" s="96" t="s">
        <v>212</v>
      </c>
      <c r="C67" s="155"/>
      <c r="D67" s="155"/>
      <c r="E67" s="91"/>
    </row>
    <row r="68" spans="1:5" s="163" customFormat="1" ht="12" customHeight="1" thickBot="1">
      <c r="A68" s="214" t="s">
        <v>376</v>
      </c>
      <c r="B68" s="19" t="s">
        <v>213</v>
      </c>
      <c r="C68" s="157">
        <f>+C11+C18+C25+C32+C40+C52+C58+C63</f>
        <v>0</v>
      </c>
      <c r="D68" s="157">
        <f>+D11+D18+D25+D32+D40+D52+D58+D63</f>
        <v>0</v>
      </c>
      <c r="E68" s="193">
        <f>+E11+E18+E25+E32+E40+E52+E58+E63</f>
        <v>0</v>
      </c>
    </row>
    <row r="69" spans="1:5" s="163" customFormat="1" ht="12" customHeight="1" thickBot="1">
      <c r="A69" s="205" t="s">
        <v>214</v>
      </c>
      <c r="B69" s="94" t="s">
        <v>215</v>
      </c>
      <c r="C69" s="151">
        <f>SUM(C70:C72)</f>
        <v>0</v>
      </c>
      <c r="D69" s="151">
        <f>SUM(D70:D72)</f>
        <v>0</v>
      </c>
      <c r="E69" s="87">
        <f>SUM(E70:E72)</f>
        <v>0</v>
      </c>
    </row>
    <row r="70" spans="1:5" s="163" customFormat="1" ht="12" customHeight="1">
      <c r="A70" s="13" t="s">
        <v>243</v>
      </c>
      <c r="B70" s="164" t="s">
        <v>216</v>
      </c>
      <c r="C70" s="155"/>
      <c r="D70" s="155"/>
      <c r="E70" s="91"/>
    </row>
    <row r="71" spans="1:5" s="163" customFormat="1" ht="12" customHeight="1">
      <c r="A71" s="12" t="s">
        <v>252</v>
      </c>
      <c r="B71" s="165" t="s">
        <v>217</v>
      </c>
      <c r="C71" s="155"/>
      <c r="D71" s="155"/>
      <c r="E71" s="91"/>
    </row>
    <row r="72" spans="1:5" s="163" customFormat="1" ht="12" customHeight="1" thickBot="1">
      <c r="A72" s="14" t="s">
        <v>253</v>
      </c>
      <c r="B72" s="210" t="s">
        <v>361</v>
      </c>
      <c r="C72" s="155"/>
      <c r="D72" s="155"/>
      <c r="E72" s="91"/>
    </row>
    <row r="73" spans="1:5" s="163" customFormat="1" ht="12" customHeight="1" thickBot="1">
      <c r="A73" s="205" t="s">
        <v>219</v>
      </c>
      <c r="B73" s="94" t="s">
        <v>220</v>
      </c>
      <c r="C73" s="151">
        <f>SUM(C74:C77)</f>
        <v>0</v>
      </c>
      <c r="D73" s="151">
        <f>SUM(D74:D77)</f>
        <v>0</v>
      </c>
      <c r="E73" s="87">
        <f>SUM(E74:E77)</f>
        <v>0</v>
      </c>
    </row>
    <row r="74" spans="1:5" s="163" customFormat="1" ht="12" customHeight="1">
      <c r="A74" s="13" t="s">
        <v>99</v>
      </c>
      <c r="B74" s="338" t="s">
        <v>221</v>
      </c>
      <c r="C74" s="155"/>
      <c r="D74" s="155"/>
      <c r="E74" s="91"/>
    </row>
    <row r="75" spans="1:5" s="163" customFormat="1" ht="12" customHeight="1">
      <c r="A75" s="12" t="s">
        <v>100</v>
      </c>
      <c r="B75" s="338" t="s">
        <v>493</v>
      </c>
      <c r="C75" s="155"/>
      <c r="D75" s="155"/>
      <c r="E75" s="91"/>
    </row>
    <row r="76" spans="1:5" s="163" customFormat="1" ht="12" customHeight="1">
      <c r="A76" s="12" t="s">
        <v>244</v>
      </c>
      <c r="B76" s="338" t="s">
        <v>222</v>
      </c>
      <c r="C76" s="155"/>
      <c r="D76" s="155"/>
      <c r="E76" s="91"/>
    </row>
    <row r="77" spans="1:5" s="163" customFormat="1" ht="12" customHeight="1" thickBot="1">
      <c r="A77" s="14" t="s">
        <v>245</v>
      </c>
      <c r="B77" s="339" t="s">
        <v>494</v>
      </c>
      <c r="C77" s="155"/>
      <c r="D77" s="155"/>
      <c r="E77" s="91"/>
    </row>
    <row r="78" spans="1:5" s="163" customFormat="1" ht="12" customHeight="1" thickBot="1">
      <c r="A78" s="205" t="s">
        <v>223</v>
      </c>
      <c r="B78" s="94" t="s">
        <v>224</v>
      </c>
      <c r="C78" s="151">
        <f>SUM(C79:C80)</f>
        <v>0</v>
      </c>
      <c r="D78" s="151">
        <f>SUM(D79:D80)</f>
        <v>0</v>
      </c>
      <c r="E78" s="87">
        <f>SUM(E79:E80)</f>
        <v>0</v>
      </c>
    </row>
    <row r="79" spans="1:5" s="163" customFormat="1" ht="12" customHeight="1">
      <c r="A79" s="13" t="s">
        <v>246</v>
      </c>
      <c r="B79" s="164" t="s">
        <v>225</v>
      </c>
      <c r="C79" s="155"/>
      <c r="D79" s="155"/>
      <c r="E79" s="91"/>
    </row>
    <row r="80" spans="1:5" s="163" customFormat="1" ht="12" customHeight="1" thickBot="1">
      <c r="A80" s="14" t="s">
        <v>247</v>
      </c>
      <c r="B80" s="96" t="s">
        <v>226</v>
      </c>
      <c r="C80" s="155"/>
      <c r="D80" s="155"/>
      <c r="E80" s="91"/>
    </row>
    <row r="81" spans="1:5" s="163" customFormat="1" ht="12" customHeight="1" thickBot="1">
      <c r="A81" s="205" t="s">
        <v>227</v>
      </c>
      <c r="B81" s="94" t="s">
        <v>228</v>
      </c>
      <c r="C81" s="151">
        <f>SUM(C82:C84)</f>
        <v>0</v>
      </c>
      <c r="D81" s="151">
        <f>SUM(D82:D84)</f>
        <v>0</v>
      </c>
      <c r="E81" s="87">
        <f>SUM(E82:E84)</f>
        <v>0</v>
      </c>
    </row>
    <row r="82" spans="1:5" s="163" customFormat="1" ht="12" customHeight="1">
      <c r="A82" s="13" t="s">
        <v>248</v>
      </c>
      <c r="B82" s="164" t="s">
        <v>229</v>
      </c>
      <c r="C82" s="155"/>
      <c r="D82" s="155"/>
      <c r="E82" s="91"/>
    </row>
    <row r="83" spans="1:5" s="163" customFormat="1" ht="12" customHeight="1">
      <c r="A83" s="12" t="s">
        <v>249</v>
      </c>
      <c r="B83" s="165" t="s">
        <v>230</v>
      </c>
      <c r="C83" s="155"/>
      <c r="D83" s="155"/>
      <c r="E83" s="91"/>
    </row>
    <row r="84" spans="1:5" s="163" customFormat="1" ht="12" customHeight="1" thickBot="1">
      <c r="A84" s="14" t="s">
        <v>250</v>
      </c>
      <c r="B84" s="96" t="s">
        <v>495</v>
      </c>
      <c r="C84" s="155"/>
      <c r="D84" s="155"/>
      <c r="E84" s="91"/>
    </row>
    <row r="85" spans="1:5" s="163" customFormat="1" ht="12" customHeight="1" thickBot="1">
      <c r="A85" s="205" t="s">
        <v>231</v>
      </c>
      <c r="B85" s="94" t="s">
        <v>251</v>
      </c>
      <c r="C85" s="151">
        <f>SUM(C86:C89)</f>
        <v>0</v>
      </c>
      <c r="D85" s="151">
        <f>SUM(D86:D89)</f>
        <v>0</v>
      </c>
      <c r="E85" s="87">
        <f>SUM(E86:E89)</f>
        <v>0</v>
      </c>
    </row>
    <row r="86" spans="1:5" s="163" customFormat="1" ht="12" customHeight="1">
      <c r="A86" s="168" t="s">
        <v>232</v>
      </c>
      <c r="B86" s="164" t="s">
        <v>233</v>
      </c>
      <c r="C86" s="155"/>
      <c r="D86" s="155"/>
      <c r="E86" s="91"/>
    </row>
    <row r="87" spans="1:5" s="163" customFormat="1" ht="12" customHeight="1">
      <c r="A87" s="169" t="s">
        <v>234</v>
      </c>
      <c r="B87" s="165" t="s">
        <v>235</v>
      </c>
      <c r="C87" s="155"/>
      <c r="D87" s="155"/>
      <c r="E87" s="91"/>
    </row>
    <row r="88" spans="1:5" s="163" customFormat="1" ht="12" customHeight="1">
      <c r="A88" s="169" t="s">
        <v>236</v>
      </c>
      <c r="B88" s="165" t="s">
        <v>237</v>
      </c>
      <c r="C88" s="155"/>
      <c r="D88" s="155"/>
      <c r="E88" s="91"/>
    </row>
    <row r="89" spans="1:5" s="163" customFormat="1" ht="12" customHeight="1" thickBot="1">
      <c r="A89" s="170" t="s">
        <v>238</v>
      </c>
      <c r="B89" s="96" t="s">
        <v>239</v>
      </c>
      <c r="C89" s="155"/>
      <c r="D89" s="155"/>
      <c r="E89" s="91"/>
    </row>
    <row r="90" spans="1:5" s="163" customFormat="1" ht="12" customHeight="1" thickBot="1">
      <c r="A90" s="205" t="s">
        <v>240</v>
      </c>
      <c r="B90" s="94" t="s">
        <v>375</v>
      </c>
      <c r="C90" s="207"/>
      <c r="D90" s="207"/>
      <c r="E90" s="208"/>
    </row>
    <row r="91" spans="1:5" s="163" customFormat="1" ht="13.5" customHeight="1" thickBot="1">
      <c r="A91" s="205" t="s">
        <v>242</v>
      </c>
      <c r="B91" s="94" t="s">
        <v>241</v>
      </c>
      <c r="C91" s="207"/>
      <c r="D91" s="207"/>
      <c r="E91" s="208"/>
    </row>
    <row r="92" spans="1:5" s="163" customFormat="1" ht="15.75" customHeight="1" thickBot="1">
      <c r="A92" s="205" t="s">
        <v>254</v>
      </c>
      <c r="B92" s="171" t="s">
        <v>378</v>
      </c>
      <c r="C92" s="157">
        <f>+C69+C73+C78+C81+C85+C91+C90</f>
        <v>0</v>
      </c>
      <c r="D92" s="157">
        <f>+D69+D73+D78+D81+D85+D91+D90</f>
        <v>0</v>
      </c>
      <c r="E92" s="193">
        <f>+E69+E73+E78+E81+E85+E91+E90</f>
        <v>0</v>
      </c>
    </row>
    <row r="93" spans="1:5" s="163" customFormat="1" ht="25.5" customHeight="1" thickBot="1">
      <c r="A93" s="206" t="s">
        <v>377</v>
      </c>
      <c r="B93" s="172" t="s">
        <v>379</v>
      </c>
      <c r="C93" s="157">
        <f>+C68+C92</f>
        <v>0</v>
      </c>
      <c r="D93" s="157">
        <f>+D68+D92</f>
        <v>0</v>
      </c>
      <c r="E93" s="193">
        <f>+E68+E92</f>
        <v>0</v>
      </c>
    </row>
    <row r="94" spans="1:3" s="163" customFormat="1" ht="15" customHeight="1">
      <c r="A94" s="3"/>
      <c r="B94" s="4"/>
      <c r="C94" s="98"/>
    </row>
    <row r="95" spans="1:5" ht="16.5" customHeight="1">
      <c r="A95" s="843" t="s">
        <v>34</v>
      </c>
      <c r="B95" s="843"/>
      <c r="C95" s="843"/>
      <c r="D95" s="843"/>
      <c r="E95" s="843"/>
    </row>
    <row r="96" spans="1:5" s="173" customFormat="1" ht="16.5" customHeight="1" thickBot="1">
      <c r="A96" s="845" t="s">
        <v>102</v>
      </c>
      <c r="B96" s="845"/>
      <c r="C96" s="55"/>
      <c r="E96" s="55" t="str">
        <f>E7</f>
        <v> Forintban!</v>
      </c>
    </row>
    <row r="97" spans="1:5" ht="15.75">
      <c r="A97" s="834" t="s">
        <v>51</v>
      </c>
      <c r="B97" s="836" t="s">
        <v>419</v>
      </c>
      <c r="C97" s="838" t="str">
        <f>+CONCATENATE(LEFT(Z_ÖSSZEFÜGGÉSEK!A6,4),". évi")</f>
        <v>2021. évi</v>
      </c>
      <c r="D97" s="839"/>
      <c r="E97" s="840"/>
    </row>
    <row r="98" spans="1:5" ht="24.75" thickBot="1">
      <c r="A98" s="835"/>
      <c r="B98" s="837"/>
      <c r="C98" s="231" t="s">
        <v>417</v>
      </c>
      <c r="D98" s="230" t="s">
        <v>418</v>
      </c>
      <c r="E98" s="340" t="str">
        <f>CONCATENATE(E9)</f>
        <v>2021. XII. 31.
teljesítés</v>
      </c>
    </row>
    <row r="99" spans="1:5" s="162" customFormat="1" ht="12" customHeight="1" thickBot="1">
      <c r="A99" s="24" t="s">
        <v>384</v>
      </c>
      <c r="B99" s="25" t="s">
        <v>385</v>
      </c>
      <c r="C99" s="25" t="s">
        <v>386</v>
      </c>
      <c r="D99" s="25" t="s">
        <v>388</v>
      </c>
      <c r="E99" s="242" t="s">
        <v>387</v>
      </c>
    </row>
    <row r="100" spans="1:5" ht="12" customHeight="1" thickBot="1">
      <c r="A100" s="20" t="s">
        <v>6</v>
      </c>
      <c r="B100" s="23" t="s">
        <v>337</v>
      </c>
      <c r="C100" s="150">
        <f>C101+C102+C103+C104+C105+C118</f>
        <v>0</v>
      </c>
      <c r="D100" s="150">
        <f>D101+D102+D103+D104+D105+D118</f>
        <v>0</v>
      </c>
      <c r="E100" s="217">
        <f>E101+E102+E103+E104+E105+E118</f>
        <v>0</v>
      </c>
    </row>
    <row r="101" spans="1:5" ht="12" customHeight="1">
      <c r="A101" s="15" t="s">
        <v>63</v>
      </c>
      <c r="B101" s="8" t="s">
        <v>35</v>
      </c>
      <c r="C101" s="224"/>
      <c r="D101" s="224"/>
      <c r="E101" s="218"/>
    </row>
    <row r="102" spans="1:5" ht="12" customHeight="1">
      <c r="A102" s="12" t="s">
        <v>64</v>
      </c>
      <c r="B102" s="6" t="s">
        <v>123</v>
      </c>
      <c r="C102" s="152"/>
      <c r="D102" s="152"/>
      <c r="E102" s="88"/>
    </row>
    <row r="103" spans="1:5" ht="12" customHeight="1">
      <c r="A103" s="12" t="s">
        <v>65</v>
      </c>
      <c r="B103" s="6" t="s">
        <v>91</v>
      </c>
      <c r="C103" s="154"/>
      <c r="D103" s="154"/>
      <c r="E103" s="90"/>
    </row>
    <row r="104" spans="1:5" ht="12" customHeight="1">
      <c r="A104" s="12" t="s">
        <v>66</v>
      </c>
      <c r="B104" s="9" t="s">
        <v>124</v>
      </c>
      <c r="C104" s="154"/>
      <c r="D104" s="154"/>
      <c r="E104" s="90"/>
    </row>
    <row r="105" spans="1:5" ht="12" customHeight="1">
      <c r="A105" s="12" t="s">
        <v>75</v>
      </c>
      <c r="B105" s="17" t="s">
        <v>125</v>
      </c>
      <c r="C105" s="154"/>
      <c r="D105" s="154"/>
      <c r="E105" s="90"/>
    </row>
    <row r="106" spans="1:5" ht="12" customHeight="1">
      <c r="A106" s="12" t="s">
        <v>67</v>
      </c>
      <c r="B106" s="6" t="s">
        <v>342</v>
      </c>
      <c r="C106" s="154"/>
      <c r="D106" s="154"/>
      <c r="E106" s="90"/>
    </row>
    <row r="107" spans="1:5" ht="12" customHeight="1">
      <c r="A107" s="12" t="s">
        <v>68</v>
      </c>
      <c r="B107" s="59" t="s">
        <v>341</v>
      </c>
      <c r="C107" s="154"/>
      <c r="D107" s="154"/>
      <c r="E107" s="90"/>
    </row>
    <row r="108" spans="1:5" ht="12" customHeight="1">
      <c r="A108" s="12" t="s">
        <v>76</v>
      </c>
      <c r="B108" s="59" t="s">
        <v>340</v>
      </c>
      <c r="C108" s="154"/>
      <c r="D108" s="154"/>
      <c r="E108" s="90"/>
    </row>
    <row r="109" spans="1:5" ht="12" customHeight="1">
      <c r="A109" s="12" t="s">
        <v>77</v>
      </c>
      <c r="B109" s="57" t="s">
        <v>257</v>
      </c>
      <c r="C109" s="154"/>
      <c r="D109" s="154"/>
      <c r="E109" s="90"/>
    </row>
    <row r="110" spans="1:5" ht="12" customHeight="1">
      <c r="A110" s="12" t="s">
        <v>78</v>
      </c>
      <c r="B110" s="58" t="s">
        <v>258</v>
      </c>
      <c r="C110" s="154"/>
      <c r="D110" s="154"/>
      <c r="E110" s="90"/>
    </row>
    <row r="111" spans="1:5" ht="12" customHeight="1">
      <c r="A111" s="12" t="s">
        <v>79</v>
      </c>
      <c r="B111" s="58" t="s">
        <v>259</v>
      </c>
      <c r="C111" s="154"/>
      <c r="D111" s="154"/>
      <c r="E111" s="90"/>
    </row>
    <row r="112" spans="1:5" ht="12" customHeight="1">
      <c r="A112" s="12" t="s">
        <v>81</v>
      </c>
      <c r="B112" s="57" t="s">
        <v>260</v>
      </c>
      <c r="C112" s="154"/>
      <c r="D112" s="154"/>
      <c r="E112" s="90"/>
    </row>
    <row r="113" spans="1:5" ht="12" customHeight="1">
      <c r="A113" s="12" t="s">
        <v>126</v>
      </c>
      <c r="B113" s="57" t="s">
        <v>261</v>
      </c>
      <c r="C113" s="154"/>
      <c r="D113" s="154"/>
      <c r="E113" s="90"/>
    </row>
    <row r="114" spans="1:5" ht="12" customHeight="1">
      <c r="A114" s="12" t="s">
        <v>255</v>
      </c>
      <c r="B114" s="58" t="s">
        <v>262</v>
      </c>
      <c r="C114" s="154"/>
      <c r="D114" s="154"/>
      <c r="E114" s="90"/>
    </row>
    <row r="115" spans="1:5" ht="12" customHeight="1">
      <c r="A115" s="11" t="s">
        <v>256</v>
      </c>
      <c r="B115" s="59" t="s">
        <v>263</v>
      </c>
      <c r="C115" s="154"/>
      <c r="D115" s="154"/>
      <c r="E115" s="90"/>
    </row>
    <row r="116" spans="1:5" ht="12" customHeight="1">
      <c r="A116" s="12" t="s">
        <v>338</v>
      </c>
      <c r="B116" s="59" t="s">
        <v>264</v>
      </c>
      <c r="C116" s="154"/>
      <c r="D116" s="154"/>
      <c r="E116" s="90"/>
    </row>
    <row r="117" spans="1:5" ht="12" customHeight="1">
      <c r="A117" s="14" t="s">
        <v>339</v>
      </c>
      <c r="B117" s="59" t="s">
        <v>265</v>
      </c>
      <c r="C117" s="154"/>
      <c r="D117" s="154"/>
      <c r="E117" s="90"/>
    </row>
    <row r="118" spans="1:5" ht="12" customHeight="1">
      <c r="A118" s="12" t="s">
        <v>343</v>
      </c>
      <c r="B118" s="9" t="s">
        <v>36</v>
      </c>
      <c r="C118" s="152"/>
      <c r="D118" s="152"/>
      <c r="E118" s="88"/>
    </row>
    <row r="119" spans="1:5" ht="12" customHeight="1">
      <c r="A119" s="12" t="s">
        <v>344</v>
      </c>
      <c r="B119" s="6" t="s">
        <v>346</v>
      </c>
      <c r="C119" s="152"/>
      <c r="D119" s="152"/>
      <c r="E119" s="88"/>
    </row>
    <row r="120" spans="1:5" ht="12" customHeight="1" thickBot="1">
      <c r="A120" s="16" t="s">
        <v>345</v>
      </c>
      <c r="B120" s="213" t="s">
        <v>347</v>
      </c>
      <c r="C120" s="225"/>
      <c r="D120" s="225"/>
      <c r="E120" s="219"/>
    </row>
    <row r="121" spans="1:5" ht="12" customHeight="1" thickBot="1">
      <c r="A121" s="211" t="s">
        <v>7</v>
      </c>
      <c r="B121" s="212" t="s">
        <v>266</v>
      </c>
      <c r="C121" s="226">
        <f>+C122+C124+C126</f>
        <v>0</v>
      </c>
      <c r="D121" s="151">
        <f>+D122+D124+D126</f>
        <v>0</v>
      </c>
      <c r="E121" s="220">
        <f>+E122+E124+E126</f>
        <v>0</v>
      </c>
    </row>
    <row r="122" spans="1:5" ht="12" customHeight="1">
      <c r="A122" s="13" t="s">
        <v>69</v>
      </c>
      <c r="B122" s="6" t="s">
        <v>140</v>
      </c>
      <c r="C122" s="153"/>
      <c r="D122" s="235"/>
      <c r="E122" s="89"/>
    </row>
    <row r="123" spans="1:5" ht="12" customHeight="1">
      <c r="A123" s="13" t="s">
        <v>70</v>
      </c>
      <c r="B123" s="10" t="s">
        <v>270</v>
      </c>
      <c r="C123" s="153"/>
      <c r="D123" s="235"/>
      <c r="E123" s="89"/>
    </row>
    <row r="124" spans="1:5" ht="12" customHeight="1">
      <c r="A124" s="13" t="s">
        <v>71</v>
      </c>
      <c r="B124" s="10" t="s">
        <v>127</v>
      </c>
      <c r="C124" s="152"/>
      <c r="D124" s="236"/>
      <c r="E124" s="88"/>
    </row>
    <row r="125" spans="1:5" ht="12" customHeight="1">
      <c r="A125" s="13" t="s">
        <v>72</v>
      </c>
      <c r="B125" s="10" t="s">
        <v>271</v>
      </c>
      <c r="C125" s="152"/>
      <c r="D125" s="236"/>
      <c r="E125" s="88"/>
    </row>
    <row r="126" spans="1:5" ht="12" customHeight="1">
      <c r="A126" s="13" t="s">
        <v>73</v>
      </c>
      <c r="B126" s="96" t="s">
        <v>142</v>
      </c>
      <c r="C126" s="152"/>
      <c r="D126" s="236"/>
      <c r="E126" s="88"/>
    </row>
    <row r="127" spans="1:5" ht="12" customHeight="1">
      <c r="A127" s="13" t="s">
        <v>80</v>
      </c>
      <c r="B127" s="95" t="s">
        <v>330</v>
      </c>
      <c r="C127" s="152"/>
      <c r="D127" s="236"/>
      <c r="E127" s="88"/>
    </row>
    <row r="128" spans="1:5" ht="12" customHeight="1">
      <c r="A128" s="13" t="s">
        <v>82</v>
      </c>
      <c r="B128" s="160" t="s">
        <v>276</v>
      </c>
      <c r="C128" s="152"/>
      <c r="D128" s="236"/>
      <c r="E128" s="88"/>
    </row>
    <row r="129" spans="1:5" ht="15.75">
      <c r="A129" s="13" t="s">
        <v>128</v>
      </c>
      <c r="B129" s="58" t="s">
        <v>259</v>
      </c>
      <c r="C129" s="152"/>
      <c r="D129" s="236"/>
      <c r="E129" s="88"/>
    </row>
    <row r="130" spans="1:5" ht="12" customHeight="1">
      <c r="A130" s="13" t="s">
        <v>129</v>
      </c>
      <c r="B130" s="58" t="s">
        <v>275</v>
      </c>
      <c r="C130" s="152"/>
      <c r="D130" s="236"/>
      <c r="E130" s="88"/>
    </row>
    <row r="131" spans="1:5" ht="12" customHeight="1">
      <c r="A131" s="13" t="s">
        <v>130</v>
      </c>
      <c r="B131" s="58" t="s">
        <v>274</v>
      </c>
      <c r="C131" s="152"/>
      <c r="D131" s="236"/>
      <c r="E131" s="88"/>
    </row>
    <row r="132" spans="1:5" ht="12" customHeight="1">
      <c r="A132" s="13" t="s">
        <v>267</v>
      </c>
      <c r="B132" s="58" t="s">
        <v>262</v>
      </c>
      <c r="C132" s="152"/>
      <c r="D132" s="236"/>
      <c r="E132" s="88"/>
    </row>
    <row r="133" spans="1:5" ht="12" customHeight="1">
      <c r="A133" s="13" t="s">
        <v>268</v>
      </c>
      <c r="B133" s="58" t="s">
        <v>273</v>
      </c>
      <c r="C133" s="152"/>
      <c r="D133" s="236"/>
      <c r="E133" s="88"/>
    </row>
    <row r="134" spans="1:5" ht="16.5" thickBot="1">
      <c r="A134" s="11" t="s">
        <v>269</v>
      </c>
      <c r="B134" s="58" t="s">
        <v>272</v>
      </c>
      <c r="C134" s="154"/>
      <c r="D134" s="237"/>
      <c r="E134" s="90"/>
    </row>
    <row r="135" spans="1:5" ht="12" customHeight="1" thickBot="1">
      <c r="A135" s="18" t="s">
        <v>8</v>
      </c>
      <c r="B135" s="51" t="s">
        <v>348</v>
      </c>
      <c r="C135" s="151">
        <f>+C100+C121</f>
        <v>0</v>
      </c>
      <c r="D135" s="234">
        <f>+D100+D121</f>
        <v>0</v>
      </c>
      <c r="E135" s="87">
        <f>+E100+E121</f>
        <v>0</v>
      </c>
    </row>
    <row r="136" spans="1:5" ht="12" customHeight="1" thickBot="1">
      <c r="A136" s="18" t="s">
        <v>9</v>
      </c>
      <c r="B136" s="51" t="s">
        <v>420</v>
      </c>
      <c r="C136" s="151">
        <f>+C137+C138+C139</f>
        <v>0</v>
      </c>
      <c r="D136" s="234">
        <f>+D137+D138+D139</f>
        <v>0</v>
      </c>
      <c r="E136" s="87">
        <f>+E137+E138+E139</f>
        <v>0</v>
      </c>
    </row>
    <row r="137" spans="1:5" ht="12" customHeight="1">
      <c r="A137" s="13" t="s">
        <v>174</v>
      </c>
      <c r="B137" s="10" t="s">
        <v>356</v>
      </c>
      <c r="C137" s="152"/>
      <c r="D137" s="236"/>
      <c r="E137" s="88"/>
    </row>
    <row r="138" spans="1:5" ht="12" customHeight="1">
      <c r="A138" s="13" t="s">
        <v>175</v>
      </c>
      <c r="B138" s="10" t="s">
        <v>357</v>
      </c>
      <c r="C138" s="152"/>
      <c r="D138" s="236"/>
      <c r="E138" s="88"/>
    </row>
    <row r="139" spans="1:5" ht="12" customHeight="1" thickBot="1">
      <c r="A139" s="11" t="s">
        <v>176</v>
      </c>
      <c r="B139" s="10" t="s">
        <v>358</v>
      </c>
      <c r="C139" s="152"/>
      <c r="D139" s="236"/>
      <c r="E139" s="88"/>
    </row>
    <row r="140" spans="1:5" ht="12" customHeight="1" thickBot="1">
      <c r="A140" s="18" t="s">
        <v>10</v>
      </c>
      <c r="B140" s="51" t="s">
        <v>350</v>
      </c>
      <c r="C140" s="151">
        <f>SUM(C141:C146)</f>
        <v>0</v>
      </c>
      <c r="D140" s="234">
        <f>SUM(D141:D146)</f>
        <v>0</v>
      </c>
      <c r="E140" s="87">
        <f>SUM(E141:E146)</f>
        <v>0</v>
      </c>
    </row>
    <row r="141" spans="1:5" ht="12" customHeight="1">
      <c r="A141" s="13" t="s">
        <v>56</v>
      </c>
      <c r="B141" s="7" t="s">
        <v>359</v>
      </c>
      <c r="C141" s="152"/>
      <c r="D141" s="236"/>
      <c r="E141" s="88"/>
    </row>
    <row r="142" spans="1:5" ht="12" customHeight="1">
      <c r="A142" s="13" t="s">
        <v>57</v>
      </c>
      <c r="B142" s="7" t="s">
        <v>351</v>
      </c>
      <c r="C142" s="152"/>
      <c r="D142" s="236"/>
      <c r="E142" s="88"/>
    </row>
    <row r="143" spans="1:5" ht="12" customHeight="1">
      <c r="A143" s="13" t="s">
        <v>58</v>
      </c>
      <c r="B143" s="7" t="s">
        <v>352</v>
      </c>
      <c r="C143" s="152"/>
      <c r="D143" s="236"/>
      <c r="E143" s="88"/>
    </row>
    <row r="144" spans="1:5" ht="12" customHeight="1">
      <c r="A144" s="13" t="s">
        <v>115</v>
      </c>
      <c r="B144" s="7" t="s">
        <v>353</v>
      </c>
      <c r="C144" s="152"/>
      <c r="D144" s="236"/>
      <c r="E144" s="88"/>
    </row>
    <row r="145" spans="1:5" ht="12" customHeight="1">
      <c r="A145" s="13" t="s">
        <v>116</v>
      </c>
      <c r="B145" s="7" t="s">
        <v>354</v>
      </c>
      <c r="C145" s="152"/>
      <c r="D145" s="236"/>
      <c r="E145" s="88"/>
    </row>
    <row r="146" spans="1:5" ht="12" customHeight="1" thickBot="1">
      <c r="A146" s="16" t="s">
        <v>117</v>
      </c>
      <c r="B146" s="350" t="s">
        <v>355</v>
      </c>
      <c r="C146" s="225"/>
      <c r="D146" s="301"/>
      <c r="E146" s="219"/>
    </row>
    <row r="147" spans="1:5" ht="12" customHeight="1" thickBot="1">
      <c r="A147" s="18" t="s">
        <v>11</v>
      </c>
      <c r="B147" s="51" t="s">
        <v>363</v>
      </c>
      <c r="C147" s="157">
        <f>+C148+C149+C150+C151</f>
        <v>0</v>
      </c>
      <c r="D147" s="238">
        <f>+D148+D149+D150+D151</f>
        <v>0</v>
      </c>
      <c r="E147" s="193">
        <f>+E148+E149+E150+E151</f>
        <v>0</v>
      </c>
    </row>
    <row r="148" spans="1:5" ht="12" customHeight="1">
      <c r="A148" s="13" t="s">
        <v>59</v>
      </c>
      <c r="B148" s="7" t="s">
        <v>277</v>
      </c>
      <c r="C148" s="152"/>
      <c r="D148" s="236"/>
      <c r="E148" s="88"/>
    </row>
    <row r="149" spans="1:5" ht="12" customHeight="1">
      <c r="A149" s="13" t="s">
        <v>60</v>
      </c>
      <c r="B149" s="7" t="s">
        <v>278</v>
      </c>
      <c r="C149" s="152"/>
      <c r="D149" s="236"/>
      <c r="E149" s="88"/>
    </row>
    <row r="150" spans="1:5" ht="12" customHeight="1">
      <c r="A150" s="13" t="s">
        <v>194</v>
      </c>
      <c r="B150" s="7" t="s">
        <v>364</v>
      </c>
      <c r="C150" s="152"/>
      <c r="D150" s="236"/>
      <c r="E150" s="88"/>
    </row>
    <row r="151" spans="1:5" ht="12" customHeight="1" thickBot="1">
      <c r="A151" s="11" t="s">
        <v>195</v>
      </c>
      <c r="B151" s="5" t="s">
        <v>294</v>
      </c>
      <c r="C151" s="152"/>
      <c r="D151" s="236"/>
      <c r="E151" s="88"/>
    </row>
    <row r="152" spans="1:5" ht="12" customHeight="1" thickBot="1">
      <c r="A152" s="18" t="s">
        <v>12</v>
      </c>
      <c r="B152" s="51" t="s">
        <v>365</v>
      </c>
      <c r="C152" s="227">
        <f>SUM(C153:C157)</f>
        <v>0</v>
      </c>
      <c r="D152" s="239">
        <f>SUM(D153:D157)</f>
        <v>0</v>
      </c>
      <c r="E152" s="221">
        <f>SUM(E153:E157)</f>
        <v>0</v>
      </c>
    </row>
    <row r="153" spans="1:5" ht="12" customHeight="1">
      <c r="A153" s="13" t="s">
        <v>61</v>
      </c>
      <c r="B153" s="7" t="s">
        <v>360</v>
      </c>
      <c r="C153" s="152"/>
      <c r="D153" s="236"/>
      <c r="E153" s="88"/>
    </row>
    <row r="154" spans="1:5" ht="12" customHeight="1">
      <c r="A154" s="13" t="s">
        <v>62</v>
      </c>
      <c r="B154" s="7" t="s">
        <v>367</v>
      </c>
      <c r="C154" s="152"/>
      <c r="D154" s="236"/>
      <c r="E154" s="88"/>
    </row>
    <row r="155" spans="1:5" ht="12" customHeight="1">
      <c r="A155" s="13" t="s">
        <v>206</v>
      </c>
      <c r="B155" s="7" t="s">
        <v>362</v>
      </c>
      <c r="C155" s="152"/>
      <c r="D155" s="236"/>
      <c r="E155" s="88"/>
    </row>
    <row r="156" spans="1:5" ht="12" customHeight="1">
      <c r="A156" s="13" t="s">
        <v>207</v>
      </c>
      <c r="B156" s="7" t="s">
        <v>368</v>
      </c>
      <c r="C156" s="152"/>
      <c r="D156" s="236"/>
      <c r="E156" s="88"/>
    </row>
    <row r="157" spans="1:5" ht="12" customHeight="1" thickBot="1">
      <c r="A157" s="13" t="s">
        <v>366</v>
      </c>
      <c r="B157" s="7" t="s">
        <v>369</v>
      </c>
      <c r="C157" s="152"/>
      <c r="D157" s="236"/>
      <c r="E157" s="88"/>
    </row>
    <row r="158" spans="1:5" ht="12" customHeight="1" thickBot="1">
      <c r="A158" s="18" t="s">
        <v>13</v>
      </c>
      <c r="B158" s="51" t="s">
        <v>370</v>
      </c>
      <c r="C158" s="228"/>
      <c r="D158" s="240"/>
      <c r="E158" s="222"/>
    </row>
    <row r="159" spans="1:5" ht="12" customHeight="1" thickBot="1">
      <c r="A159" s="18" t="s">
        <v>14</v>
      </c>
      <c r="B159" s="51" t="s">
        <v>371</v>
      </c>
      <c r="C159" s="228"/>
      <c r="D159" s="240"/>
      <c r="E159" s="222"/>
    </row>
    <row r="160" spans="1:9" ht="15" customHeight="1" thickBot="1">
      <c r="A160" s="18" t="s">
        <v>15</v>
      </c>
      <c r="B160" s="51" t="s">
        <v>373</v>
      </c>
      <c r="C160" s="229">
        <f>+C136+C140+C147+C152+C158+C159</f>
        <v>0</v>
      </c>
      <c r="D160" s="241">
        <f>+D136+D140+D147+D152+D158+D159</f>
        <v>0</v>
      </c>
      <c r="E160" s="223">
        <f>+E136+E140+E147+E152+E158+E159</f>
        <v>0</v>
      </c>
      <c r="F160" s="174"/>
      <c r="G160" s="175"/>
      <c r="H160" s="175"/>
      <c r="I160" s="175"/>
    </row>
    <row r="161" spans="1:5" s="163" customFormat="1" ht="12.75" customHeight="1" thickBot="1">
      <c r="A161" s="97" t="s">
        <v>16</v>
      </c>
      <c r="B161" s="138" t="s">
        <v>372</v>
      </c>
      <c r="C161" s="229">
        <f>+C135+C160</f>
        <v>0</v>
      </c>
      <c r="D161" s="241">
        <f>+D135+D160</f>
        <v>0</v>
      </c>
      <c r="E161" s="223">
        <f>+E135+E160</f>
        <v>0</v>
      </c>
    </row>
    <row r="162" spans="3:4" ht="15.75">
      <c r="C162" s="547">
        <f>C93-C161</f>
        <v>0</v>
      </c>
      <c r="D162" s="547">
        <f>D93-D161</f>
        <v>0</v>
      </c>
    </row>
    <row r="163" spans="1:5" ht="15.75">
      <c r="A163" s="841" t="s">
        <v>279</v>
      </c>
      <c r="B163" s="841"/>
      <c r="C163" s="841"/>
      <c r="D163" s="841"/>
      <c r="E163" s="841"/>
    </row>
    <row r="164" spans="1:5" ht="15" customHeight="1" thickBot="1">
      <c r="A164" s="833" t="s">
        <v>103</v>
      </c>
      <c r="B164" s="833"/>
      <c r="C164" s="99"/>
      <c r="E164" s="99" t="str">
        <f>E96</f>
        <v> Forintban!</v>
      </c>
    </row>
    <row r="165" spans="1:5" ht="25.5" customHeight="1" thickBot="1">
      <c r="A165" s="18">
        <v>1</v>
      </c>
      <c r="B165" s="22" t="s">
        <v>374</v>
      </c>
      <c r="C165" s="233">
        <f>+C68-C135</f>
        <v>0</v>
      </c>
      <c r="D165" s="151">
        <f>+D68-D135</f>
        <v>0</v>
      </c>
      <c r="E165" s="87">
        <f>+E68-E135</f>
        <v>0</v>
      </c>
    </row>
    <row r="166" spans="1:5" ht="32.25" customHeight="1" thickBot="1">
      <c r="A166" s="18" t="s">
        <v>7</v>
      </c>
      <c r="B166" s="22" t="s">
        <v>380</v>
      </c>
      <c r="C166" s="151">
        <f>+C92-C160</f>
        <v>0</v>
      </c>
      <c r="D166" s="151">
        <f>+D92-D160</f>
        <v>0</v>
      </c>
      <c r="E166" s="87">
        <f>+E92-E160</f>
        <v>0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61" r:id="rId1"/>
  <rowBreaks count="1" manualBreakCount="1">
    <brk id="93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0" zoomScaleNormal="120" zoomScaleSheetLayoutView="110" workbookViewId="0" topLeftCell="A1">
      <selection activeCell="F30" sqref="F30"/>
    </sheetView>
  </sheetViews>
  <sheetFormatPr defaultColWidth="9.00390625" defaultRowHeight="12.75"/>
  <cols>
    <col min="1" max="1" width="6.875" style="32" customWidth="1"/>
    <col min="2" max="2" width="48.00390625" style="63" customWidth="1"/>
    <col min="3" max="5" width="15.50390625" style="32" customWidth="1"/>
    <col min="6" max="6" width="55.12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1:10" ht="39.75" customHeight="1">
      <c r="A1" s="375"/>
      <c r="B1" s="381" t="s">
        <v>107</v>
      </c>
      <c r="C1" s="382"/>
      <c r="D1" s="382"/>
      <c r="E1" s="382"/>
      <c r="F1" s="382"/>
      <c r="G1" s="382"/>
      <c r="H1" s="382"/>
      <c r="I1" s="382"/>
      <c r="J1" s="850" t="str">
        <f>CONCATENATE("5. melléklet ",Z_ALAPADATOK!A7," ",Z_ALAPADATOK!B7," ",Z_ALAPADATOK!C7," ",Z_ALAPADATOK!D7," ",Z_ALAPADATOK!E7," ",Z_ALAPADATOK!F7," ",Z_ALAPADATOK!G7," ",Z_ALAPADATOK!H7)</f>
        <v>5. melléklet a 3 / 2022. ( V. 26. ) önkormányzati rendelethez</v>
      </c>
    </row>
    <row r="2" spans="1:10" ht="14.25" thickBot="1">
      <c r="A2" s="375"/>
      <c r="B2" s="374"/>
      <c r="C2" s="375"/>
      <c r="D2" s="375"/>
      <c r="E2" s="375"/>
      <c r="F2" s="375"/>
      <c r="G2" s="383"/>
      <c r="H2" s="383"/>
      <c r="I2" s="383" t="str">
        <f>CONCATENATE(4!E7)</f>
        <v> Forintban!</v>
      </c>
      <c r="J2" s="850"/>
    </row>
    <row r="3" spans="1:10" ht="18" customHeight="1" thickBot="1">
      <c r="A3" s="847" t="s">
        <v>51</v>
      </c>
      <c r="B3" s="384" t="s">
        <v>40</v>
      </c>
      <c r="C3" s="385"/>
      <c r="D3" s="386"/>
      <c r="E3" s="386"/>
      <c r="F3" s="384" t="s">
        <v>41</v>
      </c>
      <c r="G3" s="387"/>
      <c r="H3" s="388"/>
      <c r="I3" s="389"/>
      <c r="J3" s="850"/>
    </row>
    <row r="4" spans="1:10" s="107" customFormat="1" ht="35.25" customHeight="1" thickBot="1">
      <c r="A4" s="848"/>
      <c r="B4" s="377" t="s">
        <v>45</v>
      </c>
      <c r="C4" s="343" t="str">
        <f>+CONCATENATE(1!C8," eredeti előirányzat")</f>
        <v>2021. évi eredeti előirányzat</v>
      </c>
      <c r="D4" s="341" t="str">
        <f>+CONCATENATE(1!C8," módosított előirányzat")</f>
        <v>2021. évi módosított előirányzat</v>
      </c>
      <c r="E4" s="341" t="str">
        <f>CONCATENATE(4!E9)</f>
        <v>2021. XII. 31.
teljesítés</v>
      </c>
      <c r="F4" s="377" t="s">
        <v>45</v>
      </c>
      <c r="G4" s="343" t="str">
        <f>+C4</f>
        <v>2021. évi eredeti előirányzat</v>
      </c>
      <c r="H4" s="343" t="str">
        <f>+D4</f>
        <v>2021. évi módosított előirányzat</v>
      </c>
      <c r="I4" s="342" t="str">
        <f>+E4</f>
        <v>2021. XII. 31.
teljesítés</v>
      </c>
      <c r="J4" s="850"/>
    </row>
    <row r="5" spans="1:10" s="108" customFormat="1" ht="12" customHeight="1" thickBot="1">
      <c r="A5" s="390" t="s">
        <v>384</v>
      </c>
      <c r="B5" s="391" t="s">
        <v>385</v>
      </c>
      <c r="C5" s="392" t="s">
        <v>386</v>
      </c>
      <c r="D5" s="395" t="s">
        <v>388</v>
      </c>
      <c r="E5" s="395" t="s">
        <v>387</v>
      </c>
      <c r="F5" s="391" t="s">
        <v>421</v>
      </c>
      <c r="G5" s="392" t="s">
        <v>390</v>
      </c>
      <c r="H5" s="392" t="s">
        <v>391</v>
      </c>
      <c r="I5" s="396" t="s">
        <v>422</v>
      </c>
      <c r="J5" s="850"/>
    </row>
    <row r="6" spans="1:10" ht="12.75" customHeight="1">
      <c r="A6" s="109" t="s">
        <v>6</v>
      </c>
      <c r="B6" s="110" t="s">
        <v>280</v>
      </c>
      <c r="C6" s="100">
        <v>109423587</v>
      </c>
      <c r="D6" s="100">
        <v>138642904</v>
      </c>
      <c r="E6" s="100">
        <v>138642904</v>
      </c>
      <c r="F6" s="110" t="s">
        <v>46</v>
      </c>
      <c r="G6" s="759">
        <v>185527125</v>
      </c>
      <c r="H6" s="100">
        <v>193943152</v>
      </c>
      <c r="I6" s="247">
        <v>163979023</v>
      </c>
      <c r="J6" s="850"/>
    </row>
    <row r="7" spans="1:10" ht="12.75" customHeight="1">
      <c r="A7" s="111" t="s">
        <v>7</v>
      </c>
      <c r="B7" s="112" t="s">
        <v>281</v>
      </c>
      <c r="C7" s="101">
        <v>18977700</v>
      </c>
      <c r="D7" s="101">
        <v>29061506</v>
      </c>
      <c r="E7" s="101">
        <v>28876906</v>
      </c>
      <c r="F7" s="112" t="s">
        <v>123</v>
      </c>
      <c r="G7" s="760">
        <v>31757894</v>
      </c>
      <c r="H7" s="101">
        <v>31476029</v>
      </c>
      <c r="I7" s="248">
        <v>25040334</v>
      </c>
      <c r="J7" s="850"/>
    </row>
    <row r="8" spans="1:10" ht="12.75" customHeight="1">
      <c r="A8" s="111" t="s">
        <v>8</v>
      </c>
      <c r="B8" s="112" t="s">
        <v>299</v>
      </c>
      <c r="C8" s="101">
        <v>0</v>
      </c>
      <c r="D8" s="101"/>
      <c r="E8" s="101"/>
      <c r="F8" s="112" t="s">
        <v>145</v>
      </c>
      <c r="G8" s="760">
        <v>193131439</v>
      </c>
      <c r="H8" s="101">
        <v>213808249</v>
      </c>
      <c r="I8" s="248">
        <v>168005320</v>
      </c>
      <c r="J8" s="850"/>
    </row>
    <row r="9" spans="1:10" ht="12.75" customHeight="1">
      <c r="A9" s="111" t="s">
        <v>9</v>
      </c>
      <c r="B9" s="112" t="s">
        <v>114</v>
      </c>
      <c r="C9" s="101">
        <v>177300000</v>
      </c>
      <c r="D9" s="101">
        <v>203416565</v>
      </c>
      <c r="E9" s="101">
        <v>202623772</v>
      </c>
      <c r="F9" s="112" t="s">
        <v>124</v>
      </c>
      <c r="G9" s="760">
        <v>5840000</v>
      </c>
      <c r="H9" s="101">
        <v>5840000</v>
      </c>
      <c r="I9" s="248">
        <v>3623347</v>
      </c>
      <c r="J9" s="850"/>
    </row>
    <row r="10" spans="1:10" ht="12.75" customHeight="1">
      <c r="A10" s="111" t="s">
        <v>10</v>
      </c>
      <c r="B10" s="113" t="s">
        <v>323</v>
      </c>
      <c r="C10" s="101">
        <v>55715692</v>
      </c>
      <c r="D10" s="101">
        <v>76115201</v>
      </c>
      <c r="E10" s="101">
        <v>71668783</v>
      </c>
      <c r="F10" s="112" t="s">
        <v>125</v>
      </c>
      <c r="G10" s="760">
        <v>53238537</v>
      </c>
      <c r="H10" s="101">
        <v>66526768</v>
      </c>
      <c r="I10" s="248">
        <v>65792749</v>
      </c>
      <c r="J10" s="850"/>
    </row>
    <row r="11" spans="1:10" ht="12.75" customHeight="1">
      <c r="A11" s="111" t="s">
        <v>11</v>
      </c>
      <c r="B11" s="112" t="s">
        <v>282</v>
      </c>
      <c r="C11" s="102"/>
      <c r="D11" s="102"/>
      <c r="E11" s="102"/>
      <c r="F11" s="112" t="s">
        <v>36</v>
      </c>
      <c r="G11" s="760">
        <v>20079000</v>
      </c>
      <c r="H11" s="101">
        <v>144612807</v>
      </c>
      <c r="I11" s="248"/>
      <c r="J11" s="850"/>
    </row>
    <row r="12" spans="1:10" ht="12.75" customHeight="1">
      <c r="A12" s="111" t="s">
        <v>12</v>
      </c>
      <c r="B12" s="112" t="s">
        <v>381</v>
      </c>
      <c r="C12" s="101"/>
      <c r="D12" s="101"/>
      <c r="E12" s="101"/>
      <c r="F12" s="29"/>
      <c r="G12" s="101"/>
      <c r="H12" s="101"/>
      <c r="I12" s="248"/>
      <c r="J12" s="850"/>
    </row>
    <row r="13" spans="1:10" ht="12.75" customHeight="1">
      <c r="A13" s="111" t="s">
        <v>13</v>
      </c>
      <c r="B13" s="29"/>
      <c r="C13" s="101"/>
      <c r="D13" s="101"/>
      <c r="E13" s="101"/>
      <c r="F13" s="29"/>
      <c r="G13" s="101"/>
      <c r="H13" s="101"/>
      <c r="I13" s="248"/>
      <c r="J13" s="850"/>
    </row>
    <row r="14" spans="1:10" ht="12.75" customHeight="1">
      <c r="A14" s="111" t="s">
        <v>14</v>
      </c>
      <c r="B14" s="176"/>
      <c r="C14" s="102"/>
      <c r="D14" s="102"/>
      <c r="E14" s="102"/>
      <c r="F14" s="29"/>
      <c r="G14" s="101"/>
      <c r="H14" s="101"/>
      <c r="I14" s="248"/>
      <c r="J14" s="850"/>
    </row>
    <row r="15" spans="1:10" ht="12.75" customHeight="1">
      <c r="A15" s="111" t="s">
        <v>15</v>
      </c>
      <c r="B15" s="29"/>
      <c r="C15" s="101"/>
      <c r="D15" s="101"/>
      <c r="E15" s="101"/>
      <c r="F15" s="29"/>
      <c r="G15" s="101"/>
      <c r="H15" s="101"/>
      <c r="I15" s="248"/>
      <c r="J15" s="850"/>
    </row>
    <row r="16" spans="1:10" ht="12.75" customHeight="1">
      <c r="A16" s="111" t="s">
        <v>16</v>
      </c>
      <c r="B16" s="29"/>
      <c r="C16" s="101"/>
      <c r="D16" s="101"/>
      <c r="E16" s="101"/>
      <c r="F16" s="29"/>
      <c r="G16" s="101"/>
      <c r="H16" s="101"/>
      <c r="I16" s="248"/>
      <c r="J16" s="850"/>
    </row>
    <row r="17" spans="1:10" ht="12.75" customHeight="1" thickBot="1">
      <c r="A17" s="111" t="s">
        <v>17</v>
      </c>
      <c r="B17" s="33"/>
      <c r="C17" s="103"/>
      <c r="D17" s="103"/>
      <c r="E17" s="103"/>
      <c r="F17" s="29"/>
      <c r="G17" s="103"/>
      <c r="H17" s="103"/>
      <c r="I17" s="249"/>
      <c r="J17" s="850"/>
    </row>
    <row r="18" spans="1:10" ht="21.75" thickBot="1">
      <c r="A18" s="114" t="s">
        <v>18</v>
      </c>
      <c r="B18" s="52" t="s">
        <v>382</v>
      </c>
      <c r="C18" s="104">
        <f>C6+C7+C9+C10+C11+C13+C14+C15+C16+C17</f>
        <v>361416979</v>
      </c>
      <c r="D18" s="104">
        <f>D6+D7+D9+D10+D11+D13+D14+D15+D16+D17</f>
        <v>447236176</v>
      </c>
      <c r="E18" s="104">
        <f>E6+E7+E9+E10+E11+E13+E14+E15+E16+E17</f>
        <v>441812365</v>
      </c>
      <c r="F18" s="52" t="s">
        <v>285</v>
      </c>
      <c r="G18" s="104">
        <f>SUM(G6:G17)</f>
        <v>489573995</v>
      </c>
      <c r="H18" s="104">
        <f>SUM(H6:H17)</f>
        <v>656207005</v>
      </c>
      <c r="I18" s="132">
        <f>SUM(I6:I17)</f>
        <v>426440773</v>
      </c>
      <c r="J18" s="850"/>
    </row>
    <row r="19" spans="1:10" ht="12.75" customHeight="1">
      <c r="A19" s="115" t="s">
        <v>19</v>
      </c>
      <c r="B19" s="116" t="s">
        <v>617</v>
      </c>
      <c r="C19" s="42">
        <v>227998479</v>
      </c>
      <c r="D19" s="42">
        <v>309236150</v>
      </c>
      <c r="E19" s="215">
        <v>308698578</v>
      </c>
      <c r="F19" s="117" t="s">
        <v>131</v>
      </c>
      <c r="G19" s="105"/>
      <c r="H19" s="105"/>
      <c r="I19" s="250"/>
      <c r="J19" s="850"/>
    </row>
    <row r="20" spans="1:10" ht="12.75" customHeight="1">
      <c r="A20" s="118" t="s">
        <v>20</v>
      </c>
      <c r="B20" s="117" t="s">
        <v>138</v>
      </c>
      <c r="C20" s="42">
        <v>227998479</v>
      </c>
      <c r="D20" s="42">
        <v>309236150</v>
      </c>
      <c r="E20" s="42">
        <v>308698578</v>
      </c>
      <c r="F20" s="117" t="s">
        <v>284</v>
      </c>
      <c r="G20" s="42"/>
      <c r="H20" s="42"/>
      <c r="I20" s="251"/>
      <c r="J20" s="850"/>
    </row>
    <row r="21" spans="1:10" ht="12.75" customHeight="1">
      <c r="A21" s="118" t="s">
        <v>21</v>
      </c>
      <c r="B21" s="117" t="s">
        <v>139</v>
      </c>
      <c r="C21" s="42"/>
      <c r="D21" s="42"/>
      <c r="E21" s="42"/>
      <c r="F21" s="117" t="s">
        <v>105</v>
      </c>
      <c r="G21" s="42"/>
      <c r="H21" s="42"/>
      <c r="I21" s="251"/>
      <c r="J21" s="850"/>
    </row>
    <row r="22" spans="1:10" ht="12.75" customHeight="1">
      <c r="A22" s="118" t="s">
        <v>22</v>
      </c>
      <c r="B22" s="117" t="s">
        <v>143</v>
      </c>
      <c r="C22" s="42"/>
      <c r="D22" s="42"/>
      <c r="E22" s="42"/>
      <c r="F22" s="117" t="s">
        <v>106</v>
      </c>
      <c r="G22" s="42"/>
      <c r="H22" s="42"/>
      <c r="I22" s="251"/>
      <c r="J22" s="850"/>
    </row>
    <row r="23" spans="1:10" ht="12.75" customHeight="1">
      <c r="A23" s="118" t="s">
        <v>23</v>
      </c>
      <c r="B23" s="117" t="s">
        <v>144</v>
      </c>
      <c r="C23" s="42"/>
      <c r="D23" s="42"/>
      <c r="E23" s="42"/>
      <c r="F23" s="116" t="s">
        <v>146</v>
      </c>
      <c r="G23" s="42"/>
      <c r="H23" s="42"/>
      <c r="I23" s="251"/>
      <c r="J23" s="850"/>
    </row>
    <row r="24" spans="1:10" ht="12.75" customHeight="1">
      <c r="A24" s="111" t="s">
        <v>24</v>
      </c>
      <c r="B24" s="117" t="s">
        <v>283</v>
      </c>
      <c r="C24" s="42"/>
      <c r="D24" s="42"/>
      <c r="E24" s="42"/>
      <c r="F24" s="117" t="s">
        <v>132</v>
      </c>
      <c r="G24" s="42"/>
      <c r="H24" s="42"/>
      <c r="I24" s="251"/>
      <c r="J24" s="850"/>
    </row>
    <row r="25" spans="1:10" ht="12.75" customHeight="1">
      <c r="A25" s="111" t="s">
        <v>25</v>
      </c>
      <c r="B25" s="117" t="s">
        <v>616</v>
      </c>
      <c r="C25" s="119"/>
      <c r="D25" s="119"/>
      <c r="E25" s="119"/>
      <c r="F25" s="110" t="s">
        <v>364</v>
      </c>
      <c r="G25" s="42"/>
      <c r="H25" s="42"/>
      <c r="I25" s="251"/>
      <c r="J25" s="850"/>
    </row>
    <row r="26" spans="1:10" ht="12.75" customHeight="1">
      <c r="A26" s="147" t="s">
        <v>26</v>
      </c>
      <c r="B26" s="116" t="s">
        <v>154</v>
      </c>
      <c r="C26" s="105"/>
      <c r="D26" s="105"/>
      <c r="E26" s="105"/>
      <c r="F26" s="112" t="s">
        <v>370</v>
      </c>
      <c r="G26" s="105"/>
      <c r="H26" s="105"/>
      <c r="I26" s="250"/>
      <c r="J26" s="850"/>
    </row>
    <row r="27" spans="1:10" ht="12.75" customHeight="1">
      <c r="A27" s="111" t="s">
        <v>27</v>
      </c>
      <c r="B27" s="117" t="s">
        <v>375</v>
      </c>
      <c r="C27" s="42"/>
      <c r="D27" s="42"/>
      <c r="E27" s="42"/>
      <c r="F27" s="112" t="s">
        <v>371</v>
      </c>
      <c r="G27" s="42"/>
      <c r="H27" s="42"/>
      <c r="I27" s="251"/>
      <c r="J27" s="850"/>
    </row>
    <row r="28" spans="1:10" ht="12.75" customHeight="1" thickBot="1">
      <c r="A28" s="147" t="s">
        <v>28</v>
      </c>
      <c r="B28" s="178" t="s">
        <v>706</v>
      </c>
      <c r="C28" s="105"/>
      <c r="D28" s="105">
        <v>4440354</v>
      </c>
      <c r="E28" s="105">
        <v>4440354</v>
      </c>
      <c r="F28" s="178" t="s">
        <v>278</v>
      </c>
      <c r="G28" s="761">
        <v>4376944</v>
      </c>
      <c r="H28" s="105">
        <v>4376944</v>
      </c>
      <c r="I28" s="250">
        <v>4376944</v>
      </c>
      <c r="J28" s="850"/>
    </row>
    <row r="29" spans="1:10" ht="24" customHeight="1" thickBot="1">
      <c r="A29" s="114" t="s">
        <v>29</v>
      </c>
      <c r="B29" s="52" t="s">
        <v>619</v>
      </c>
      <c r="C29" s="104">
        <f>+C19+C25</f>
        <v>227998479</v>
      </c>
      <c r="D29" s="104">
        <f>+D19+D25+D28</f>
        <v>313676504</v>
      </c>
      <c r="E29" s="245">
        <f>+E19+E25+E28</f>
        <v>313138932</v>
      </c>
      <c r="F29" s="52" t="s">
        <v>618</v>
      </c>
      <c r="G29" s="104">
        <f>SUM(G19:G28)</f>
        <v>4376944</v>
      </c>
      <c r="H29" s="104">
        <f>SUM(H19:H28)</f>
        <v>4376944</v>
      </c>
      <c r="I29" s="132">
        <f>SUM(I19:I28)</f>
        <v>4376944</v>
      </c>
      <c r="J29" s="850"/>
    </row>
    <row r="30" spans="1:10" ht="13.5" thickBot="1">
      <c r="A30" s="114" t="s">
        <v>30</v>
      </c>
      <c r="B30" s="120" t="s">
        <v>383</v>
      </c>
      <c r="C30" s="315">
        <f>+C18+C29</f>
        <v>589415458</v>
      </c>
      <c r="D30" s="315">
        <f>+D18+D29</f>
        <v>760912680</v>
      </c>
      <c r="E30" s="316">
        <f>+E18+E29</f>
        <v>754951297</v>
      </c>
      <c r="F30" s="120"/>
      <c r="G30" s="315">
        <f>+G18+G29</f>
        <v>493950939</v>
      </c>
      <c r="H30" s="315">
        <f>+H18+H29</f>
        <v>660583949</v>
      </c>
      <c r="I30" s="316">
        <f>+I18+I29</f>
        <v>430817717</v>
      </c>
      <c r="J30" s="850"/>
    </row>
    <row r="31" spans="1:10" ht="13.5" thickBot="1">
      <c r="A31" s="114" t="s">
        <v>31</v>
      </c>
      <c r="B31" s="120" t="s">
        <v>109</v>
      </c>
      <c r="C31" s="315">
        <f>IF(C18-G18&lt;0,G18-C18,"-")</f>
        <v>128157016</v>
      </c>
      <c r="D31" s="315">
        <f>IF(D18-H18&lt;0,H18-D18,"-")</f>
        <v>208970829</v>
      </c>
      <c r="E31" s="316" t="str">
        <f>IF(E18-I18&lt;0,I18-E18,"-")</f>
        <v>-</v>
      </c>
      <c r="F31" s="120" t="s">
        <v>110</v>
      </c>
      <c r="G31" s="315" t="str">
        <f>IF(C18-G18&gt;0,C18-G18,"-")</f>
        <v>-</v>
      </c>
      <c r="H31" s="315" t="str">
        <f>IF(D18-H18&gt;0,D18-H18,"-")</f>
        <v>-</v>
      </c>
      <c r="I31" s="316">
        <f>IF(E18-I18&gt;0,E18-I18,"-")</f>
        <v>15371592</v>
      </c>
      <c r="J31" s="850"/>
    </row>
    <row r="32" spans="1:10" ht="13.5" thickBot="1">
      <c r="A32" s="114" t="s">
        <v>32</v>
      </c>
      <c r="B32" s="120" t="s">
        <v>491</v>
      </c>
      <c r="C32" s="315" t="str">
        <f>IF(C30-G30&lt;0,G30-C30,"-")</f>
        <v>-</v>
      </c>
      <c r="D32" s="315" t="str">
        <f>IF(D30-H30&lt;0,H30-D30,"-")</f>
        <v>-</v>
      </c>
      <c r="E32" s="315" t="str">
        <f>IF(E30-I30&lt;0,I30-E30,"-")</f>
        <v>-</v>
      </c>
      <c r="F32" s="120" t="s">
        <v>492</v>
      </c>
      <c r="G32" s="315">
        <f>IF(C30-G30&gt;0,C30-G30,"-")</f>
        <v>95464519</v>
      </c>
      <c r="H32" s="315">
        <f>IF(D30-H30&gt;0,D30-H30,"-")</f>
        <v>100328731</v>
      </c>
      <c r="I32" s="315">
        <f>IF(E30-I30&gt;0,E30-I30,"-")</f>
        <v>324133580</v>
      </c>
      <c r="J32" s="850"/>
    </row>
    <row r="33" spans="2:10" ht="18.75">
      <c r="B33" s="849"/>
      <c r="C33" s="849"/>
      <c r="D33" s="849"/>
      <c r="E33" s="849"/>
      <c r="F33" s="849"/>
      <c r="J33" s="850"/>
    </row>
  </sheetData>
  <sheetProtection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0" zoomScaleNormal="120" zoomScaleSheetLayoutView="110" workbookViewId="0" topLeftCell="A1">
      <selection activeCell="C31" sqref="C31"/>
    </sheetView>
  </sheetViews>
  <sheetFormatPr defaultColWidth="9.00390625" defaultRowHeight="12.75"/>
  <cols>
    <col min="1" max="1" width="6.875" style="32" customWidth="1"/>
    <col min="2" max="2" width="49.875" style="63" customWidth="1"/>
    <col min="3" max="5" width="15.50390625" style="32" customWidth="1"/>
    <col min="6" max="6" width="49.87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1:10" ht="31.5">
      <c r="A1" s="375"/>
      <c r="B1" s="381" t="s">
        <v>108</v>
      </c>
      <c r="C1" s="382"/>
      <c r="D1" s="382"/>
      <c r="E1" s="382"/>
      <c r="F1" s="382"/>
      <c r="G1" s="382"/>
      <c r="H1" s="382"/>
      <c r="I1" s="382"/>
      <c r="J1" s="850" t="str">
        <f>CONCATENATE("6. melléklet ",Z_ALAPADATOK!A7," ",Z_ALAPADATOK!B7," ",Z_ALAPADATOK!C7," ",Z_ALAPADATOK!D7," ",Z_ALAPADATOK!E7," ",Z_ALAPADATOK!F7," ",Z_ALAPADATOK!G7," ",Z_ALAPADATOK!H7)</f>
        <v>6. melléklet a 3 / 2022. ( V. 26. ) önkormányzati rendelethez</v>
      </c>
    </row>
    <row r="2" spans="1:10" ht="14.25" thickBot="1">
      <c r="A2" s="375"/>
      <c r="B2" s="374"/>
      <c r="C2" s="375"/>
      <c r="D2" s="375"/>
      <c r="E2" s="375"/>
      <c r="F2" s="375"/>
      <c r="G2" s="383"/>
      <c r="H2" s="383"/>
      <c r="I2" s="383" t="str">
        <f>5!I2</f>
        <v> Forintban!</v>
      </c>
      <c r="J2" s="850"/>
    </row>
    <row r="3" spans="1:10" ht="13.5" customHeight="1" thickBot="1">
      <c r="A3" s="847" t="s">
        <v>51</v>
      </c>
      <c r="B3" s="384" t="s">
        <v>40</v>
      </c>
      <c r="C3" s="385"/>
      <c r="D3" s="386"/>
      <c r="E3" s="386"/>
      <c r="F3" s="384" t="s">
        <v>41</v>
      </c>
      <c r="G3" s="387"/>
      <c r="H3" s="388"/>
      <c r="I3" s="389"/>
      <c r="J3" s="850"/>
    </row>
    <row r="4" spans="1:10" s="107" customFormat="1" ht="36.75" thickBot="1">
      <c r="A4" s="848"/>
      <c r="B4" s="377" t="s">
        <v>45</v>
      </c>
      <c r="C4" s="343" t="str">
        <f>+CONCATENATE(1!C8," eredeti előirányzat")</f>
        <v>2021. évi eredeti előirányzat</v>
      </c>
      <c r="D4" s="341" t="str">
        <f>+CONCATENATE(1!C8," módosított előirányzat")</f>
        <v>2021. évi módosított előirányzat</v>
      </c>
      <c r="E4" s="341" t="str">
        <f>CONCATENATE(5!E4)</f>
        <v>2021. XII. 31.
teljesítés</v>
      </c>
      <c r="F4" s="377" t="s">
        <v>45</v>
      </c>
      <c r="G4" s="343" t="str">
        <f>+C4</f>
        <v>2021. évi eredeti előirányzat</v>
      </c>
      <c r="H4" s="343" t="str">
        <f>+D4</f>
        <v>2021. évi módosított előirányzat</v>
      </c>
      <c r="I4" s="342" t="str">
        <f>+E4</f>
        <v>2021. XII. 31.
teljesítés</v>
      </c>
      <c r="J4" s="850"/>
    </row>
    <row r="5" spans="1:10" s="107" customFormat="1" ht="13.5" thickBot="1">
      <c r="A5" s="390" t="s">
        <v>384</v>
      </c>
      <c r="B5" s="391" t="s">
        <v>385</v>
      </c>
      <c r="C5" s="392" t="s">
        <v>386</v>
      </c>
      <c r="D5" s="392" t="s">
        <v>388</v>
      </c>
      <c r="E5" s="392" t="s">
        <v>387</v>
      </c>
      <c r="F5" s="391" t="s">
        <v>389</v>
      </c>
      <c r="G5" s="392" t="s">
        <v>390</v>
      </c>
      <c r="H5" s="393" t="s">
        <v>391</v>
      </c>
      <c r="I5" s="394" t="s">
        <v>422</v>
      </c>
      <c r="J5" s="850"/>
    </row>
    <row r="6" spans="1:10" ht="12.75" customHeight="1">
      <c r="A6" s="109" t="s">
        <v>6</v>
      </c>
      <c r="B6" s="110" t="s">
        <v>286</v>
      </c>
      <c r="C6" s="100"/>
      <c r="D6" s="100">
        <v>50735946</v>
      </c>
      <c r="E6" s="100">
        <v>50735946</v>
      </c>
      <c r="F6" s="110" t="s">
        <v>140</v>
      </c>
      <c r="G6" s="759">
        <v>110634329</v>
      </c>
      <c r="H6" s="256">
        <v>137286229</v>
      </c>
      <c r="I6" s="130">
        <v>112623429</v>
      </c>
      <c r="J6" s="850"/>
    </row>
    <row r="7" spans="1:10" ht="12.75">
      <c r="A7" s="111" t="s">
        <v>7</v>
      </c>
      <c r="B7" s="112" t="s">
        <v>287</v>
      </c>
      <c r="C7" s="101"/>
      <c r="D7" s="101"/>
      <c r="E7" s="101"/>
      <c r="F7" s="112" t="s">
        <v>292</v>
      </c>
      <c r="G7" s="760">
        <v>23112825</v>
      </c>
      <c r="H7" s="101">
        <v>23112825</v>
      </c>
      <c r="I7" s="248">
        <v>22950066</v>
      </c>
      <c r="J7" s="850"/>
    </row>
    <row r="8" spans="1:10" ht="12.75" customHeight="1">
      <c r="A8" s="111" t="s">
        <v>8</v>
      </c>
      <c r="B8" s="112" t="s">
        <v>1</v>
      </c>
      <c r="C8" s="101">
        <v>18199964</v>
      </c>
      <c r="D8" s="101">
        <v>18200000</v>
      </c>
      <c r="E8" s="101">
        <v>18200000</v>
      </c>
      <c r="F8" s="112" t="s">
        <v>127</v>
      </c>
      <c r="G8" s="760">
        <v>9236000</v>
      </c>
      <c r="H8" s="101">
        <v>53860749</v>
      </c>
      <c r="I8" s="248">
        <v>37961848</v>
      </c>
      <c r="J8" s="850"/>
    </row>
    <row r="9" spans="1:10" ht="12.75" customHeight="1">
      <c r="A9" s="111" t="s">
        <v>9</v>
      </c>
      <c r="B9" s="112" t="s">
        <v>705</v>
      </c>
      <c r="C9" s="101"/>
      <c r="D9" s="101"/>
      <c r="E9" s="101"/>
      <c r="F9" s="112" t="s">
        <v>293</v>
      </c>
      <c r="G9" s="760"/>
      <c r="H9" s="101"/>
      <c r="I9" s="248"/>
      <c r="J9" s="850"/>
    </row>
    <row r="10" spans="1:10" ht="12.75" customHeight="1">
      <c r="A10" s="111" t="s">
        <v>10</v>
      </c>
      <c r="B10" s="112" t="s">
        <v>288</v>
      </c>
      <c r="C10" s="101">
        <v>792559</v>
      </c>
      <c r="D10" s="101">
        <v>15969014</v>
      </c>
      <c r="E10" s="101">
        <v>16278514</v>
      </c>
      <c r="F10" s="112" t="s">
        <v>142</v>
      </c>
      <c r="G10" s="760">
        <v>2000000</v>
      </c>
      <c r="H10" s="101">
        <v>2000000</v>
      </c>
      <c r="I10" s="248"/>
      <c r="J10" s="850"/>
    </row>
    <row r="11" spans="1:10" ht="12.75" customHeight="1">
      <c r="A11" s="111" t="s">
        <v>11</v>
      </c>
      <c r="B11" s="112" t="s">
        <v>289</v>
      </c>
      <c r="C11" s="102"/>
      <c r="D11" s="102"/>
      <c r="E11" s="102"/>
      <c r="F11" s="179"/>
      <c r="G11" s="101"/>
      <c r="H11" s="101"/>
      <c r="I11" s="248"/>
      <c r="J11" s="850"/>
    </row>
    <row r="12" spans="1:10" ht="12.75" customHeight="1">
      <c r="A12" s="111" t="s">
        <v>12</v>
      </c>
      <c r="B12" s="112" t="s">
        <v>290</v>
      </c>
      <c r="C12" s="101"/>
      <c r="D12" s="101">
        <v>500000</v>
      </c>
      <c r="E12" s="101"/>
      <c r="F12" s="179"/>
      <c r="G12" s="101"/>
      <c r="H12" s="101"/>
      <c r="I12" s="248"/>
      <c r="J12" s="850"/>
    </row>
    <row r="13" spans="1:10" ht="12.75" customHeight="1">
      <c r="A13" s="111" t="s">
        <v>13</v>
      </c>
      <c r="B13" s="29"/>
      <c r="C13" s="101"/>
      <c r="D13" s="101"/>
      <c r="E13" s="101"/>
      <c r="F13" s="180"/>
      <c r="G13" s="101"/>
      <c r="H13" s="101"/>
      <c r="I13" s="248"/>
      <c r="J13" s="850"/>
    </row>
    <row r="14" spans="1:10" ht="12.75" customHeight="1">
      <c r="A14" s="111" t="s">
        <v>14</v>
      </c>
      <c r="B14" s="177"/>
      <c r="C14" s="102"/>
      <c r="D14" s="102"/>
      <c r="E14" s="102"/>
      <c r="F14" s="179"/>
      <c r="G14" s="101"/>
      <c r="H14" s="101"/>
      <c r="I14" s="248"/>
      <c r="J14" s="850"/>
    </row>
    <row r="15" spans="1:10" ht="12.75">
      <c r="A15" s="111" t="s">
        <v>15</v>
      </c>
      <c r="B15" s="29"/>
      <c r="C15" s="102"/>
      <c r="D15" s="102"/>
      <c r="E15" s="102"/>
      <c r="F15" s="179"/>
      <c r="G15" s="101"/>
      <c r="H15" s="101"/>
      <c r="I15" s="248"/>
      <c r="J15" s="850"/>
    </row>
    <row r="16" spans="1:10" ht="12.75" customHeight="1" thickBot="1">
      <c r="A16" s="147" t="s">
        <v>16</v>
      </c>
      <c r="B16" s="178"/>
      <c r="C16" s="149"/>
      <c r="D16" s="149"/>
      <c r="E16" s="149"/>
      <c r="F16" s="148" t="s">
        <v>36</v>
      </c>
      <c r="G16" s="254"/>
      <c r="H16" s="254"/>
      <c r="I16" s="252"/>
      <c r="J16" s="850"/>
    </row>
    <row r="17" spans="1:10" ht="15.75" customHeight="1" thickBot="1">
      <c r="A17" s="114" t="s">
        <v>17</v>
      </c>
      <c r="B17" s="52" t="s">
        <v>300</v>
      </c>
      <c r="C17" s="104">
        <f>+C6+C8+C9+C11+C12+C13+C14+C15+C16+C10</f>
        <v>18992523</v>
      </c>
      <c r="D17" s="104">
        <f>+D6+D8+D9+D11+D12+D13+D14+D15+D16+D10</f>
        <v>85404960</v>
      </c>
      <c r="E17" s="104">
        <f>+E6+E8+E9+E11+E12+E13+E14+E15+E16+E10</f>
        <v>85214460</v>
      </c>
      <c r="F17" s="52" t="s">
        <v>301</v>
      </c>
      <c r="G17" s="104">
        <f>+G6+G8+G10+G11+G12+G13+G14+G15+G16</f>
        <v>121870329</v>
      </c>
      <c r="H17" s="104">
        <f>+H6+H8+H10+H11+H12+H13+H14+H15+H16</f>
        <v>193146978</v>
      </c>
      <c r="I17" s="132">
        <f>+I6+I8+I10+I11+I12+I13+I14+I15+I16</f>
        <v>150585277</v>
      </c>
      <c r="J17" s="850"/>
    </row>
    <row r="18" spans="1:10" ht="12.75" customHeight="1">
      <c r="A18" s="109" t="s">
        <v>18</v>
      </c>
      <c r="B18" s="122" t="s">
        <v>158</v>
      </c>
      <c r="C18" s="129">
        <f>+C19+C20+C21+C22+C23</f>
        <v>7413287</v>
      </c>
      <c r="D18" s="129">
        <f>+D19+D20+D21+D22+D23</f>
        <v>7413287</v>
      </c>
      <c r="E18" s="129">
        <v>7950859</v>
      </c>
      <c r="F18" s="117" t="s">
        <v>131</v>
      </c>
      <c r="G18" s="255"/>
      <c r="H18" s="255"/>
      <c r="I18" s="253"/>
      <c r="J18" s="850"/>
    </row>
    <row r="19" spans="1:10" ht="12.75" customHeight="1">
      <c r="A19" s="111" t="s">
        <v>19</v>
      </c>
      <c r="B19" s="123" t="s">
        <v>147</v>
      </c>
      <c r="C19" s="42">
        <v>7413287</v>
      </c>
      <c r="D19" s="42">
        <v>7413287</v>
      </c>
      <c r="E19" s="42">
        <v>7950859</v>
      </c>
      <c r="F19" s="117" t="s">
        <v>134</v>
      </c>
      <c r="G19" s="42"/>
      <c r="H19" s="42"/>
      <c r="I19" s="251"/>
      <c r="J19" s="850"/>
    </row>
    <row r="20" spans="1:10" ht="12.75" customHeight="1">
      <c r="A20" s="109" t="s">
        <v>20</v>
      </c>
      <c r="B20" s="123" t="s">
        <v>148</v>
      </c>
      <c r="C20" s="42"/>
      <c r="D20" s="42"/>
      <c r="E20" s="42"/>
      <c r="F20" s="117" t="s">
        <v>105</v>
      </c>
      <c r="G20" s="42"/>
      <c r="H20" s="42"/>
      <c r="I20" s="251"/>
      <c r="J20" s="850"/>
    </row>
    <row r="21" spans="1:10" ht="12.75" customHeight="1">
      <c r="A21" s="111" t="s">
        <v>21</v>
      </c>
      <c r="B21" s="123" t="s">
        <v>149</v>
      </c>
      <c r="C21" s="42"/>
      <c r="D21" s="42"/>
      <c r="E21" s="42"/>
      <c r="F21" s="117" t="s">
        <v>106</v>
      </c>
      <c r="G21" s="42"/>
      <c r="H21" s="42"/>
      <c r="I21" s="251"/>
      <c r="J21" s="850"/>
    </row>
    <row r="22" spans="1:10" ht="12.75" customHeight="1">
      <c r="A22" s="109" t="s">
        <v>22</v>
      </c>
      <c r="B22" s="123" t="s">
        <v>150</v>
      </c>
      <c r="C22" s="42"/>
      <c r="D22" s="42"/>
      <c r="E22" s="42"/>
      <c r="F22" s="116" t="s">
        <v>146</v>
      </c>
      <c r="G22" s="42"/>
      <c r="H22" s="42"/>
      <c r="I22" s="251"/>
      <c r="J22" s="850"/>
    </row>
    <row r="23" spans="1:10" ht="12.75" customHeight="1">
      <c r="A23" s="111" t="s">
        <v>23</v>
      </c>
      <c r="B23" s="124" t="s">
        <v>151</v>
      </c>
      <c r="C23" s="42"/>
      <c r="D23" s="42"/>
      <c r="E23" s="42"/>
      <c r="F23" s="117" t="s">
        <v>135</v>
      </c>
      <c r="G23" s="42"/>
      <c r="H23" s="42"/>
      <c r="I23" s="251"/>
      <c r="J23" s="850"/>
    </row>
    <row r="24" spans="1:10" ht="12.75" customHeight="1">
      <c r="A24" s="109" t="s">
        <v>24</v>
      </c>
      <c r="B24" s="125" t="s">
        <v>152</v>
      </c>
      <c r="C24" s="119">
        <f>+C25+C26+C27+C28+C29</f>
        <v>0</v>
      </c>
      <c r="D24" s="119">
        <f>+D25+D26+D27+D28+D29</f>
        <v>0</v>
      </c>
      <c r="E24" s="119">
        <f>+E25+E26+E27+E28+E29</f>
        <v>0</v>
      </c>
      <c r="F24" s="126" t="s">
        <v>133</v>
      </c>
      <c r="G24" s="42"/>
      <c r="H24" s="42"/>
      <c r="I24" s="251"/>
      <c r="J24" s="850"/>
    </row>
    <row r="25" spans="1:10" ht="12.75" customHeight="1">
      <c r="A25" s="111" t="s">
        <v>25</v>
      </c>
      <c r="B25" s="124" t="s">
        <v>153</v>
      </c>
      <c r="C25" s="42"/>
      <c r="D25" s="42"/>
      <c r="E25" s="42"/>
      <c r="F25" s="126" t="s">
        <v>294</v>
      </c>
      <c r="G25" s="42"/>
      <c r="H25" s="42"/>
      <c r="I25" s="251"/>
      <c r="J25" s="850"/>
    </row>
    <row r="26" spans="1:10" ht="12.75" customHeight="1">
      <c r="A26" s="109" t="s">
        <v>26</v>
      </c>
      <c r="B26" s="124" t="s">
        <v>154</v>
      </c>
      <c r="C26" s="42"/>
      <c r="D26" s="42"/>
      <c r="E26" s="42"/>
      <c r="F26" s="121"/>
      <c r="G26" s="42"/>
      <c r="H26" s="42"/>
      <c r="I26" s="251"/>
      <c r="J26" s="850"/>
    </row>
    <row r="27" spans="1:10" ht="12.75" customHeight="1">
      <c r="A27" s="111" t="s">
        <v>27</v>
      </c>
      <c r="B27" s="123" t="s">
        <v>155</v>
      </c>
      <c r="C27" s="42"/>
      <c r="D27" s="42"/>
      <c r="E27" s="42"/>
      <c r="F27" s="50"/>
      <c r="G27" s="42"/>
      <c r="H27" s="42"/>
      <c r="I27" s="251"/>
      <c r="J27" s="850"/>
    </row>
    <row r="28" spans="1:10" ht="12.75" customHeight="1">
      <c r="A28" s="109" t="s">
        <v>28</v>
      </c>
      <c r="B28" s="127" t="s">
        <v>156</v>
      </c>
      <c r="C28" s="42"/>
      <c r="D28" s="42"/>
      <c r="E28" s="42"/>
      <c r="F28" s="29"/>
      <c r="G28" s="42"/>
      <c r="H28" s="42"/>
      <c r="I28" s="251"/>
      <c r="J28" s="850"/>
    </row>
    <row r="29" spans="1:10" ht="12.75" customHeight="1" thickBot="1">
      <c r="A29" s="111" t="s">
        <v>29</v>
      </c>
      <c r="B29" s="128" t="s">
        <v>157</v>
      </c>
      <c r="C29" s="42"/>
      <c r="D29" s="42"/>
      <c r="E29" s="42"/>
      <c r="F29" s="50"/>
      <c r="G29" s="42"/>
      <c r="H29" s="42"/>
      <c r="I29" s="251"/>
      <c r="J29" s="850"/>
    </row>
    <row r="30" spans="1:10" ht="21.75" customHeight="1" thickBot="1">
      <c r="A30" s="114" t="s">
        <v>30</v>
      </c>
      <c r="B30" s="52" t="s">
        <v>291</v>
      </c>
      <c r="C30" s="104">
        <f>+C18+C24</f>
        <v>7413287</v>
      </c>
      <c r="D30" s="104">
        <f>+D18+D24</f>
        <v>7413287</v>
      </c>
      <c r="E30" s="104">
        <f>+E18+E24</f>
        <v>7950859</v>
      </c>
      <c r="F30" s="52" t="s">
        <v>295</v>
      </c>
      <c r="G30" s="104">
        <f>SUM(G18:G29)</f>
        <v>0</v>
      </c>
      <c r="H30" s="104">
        <f>SUM(H18:H29)</f>
        <v>0</v>
      </c>
      <c r="I30" s="132">
        <f>SUM(I18:I29)</f>
        <v>0</v>
      </c>
      <c r="J30" s="850"/>
    </row>
    <row r="31" spans="1:10" ht="13.5" thickBot="1">
      <c r="A31" s="114" t="s">
        <v>31</v>
      </c>
      <c r="B31" s="120" t="s">
        <v>296</v>
      </c>
      <c r="C31" s="315">
        <f>+C17+C30</f>
        <v>26405810</v>
      </c>
      <c r="D31" s="315">
        <f>+D17+D30</f>
        <v>92818247</v>
      </c>
      <c r="E31" s="316">
        <f>+E17+E30</f>
        <v>93165319</v>
      </c>
      <c r="F31" s="120" t="s">
        <v>297</v>
      </c>
      <c r="G31" s="315">
        <f>+G17+G30</f>
        <v>121870329</v>
      </c>
      <c r="H31" s="315">
        <f>+H17+H30</f>
        <v>193146978</v>
      </c>
      <c r="I31" s="316">
        <f>+I17+I30</f>
        <v>150585277</v>
      </c>
      <c r="J31" s="850"/>
    </row>
    <row r="32" spans="1:10" ht="13.5" thickBot="1">
      <c r="A32" s="114" t="s">
        <v>32</v>
      </c>
      <c r="B32" s="120" t="s">
        <v>109</v>
      </c>
      <c r="C32" s="315">
        <f>IF(C17-G17&lt;0,G17-C17,"-")</f>
        <v>102877806</v>
      </c>
      <c r="D32" s="315">
        <f>IF(D17-H17&lt;0,H17-D17,"-")</f>
        <v>107742018</v>
      </c>
      <c r="E32" s="316">
        <f>IF(E17-I17&lt;0,I17-E17,"-")</f>
        <v>65370817</v>
      </c>
      <c r="F32" s="120" t="s">
        <v>110</v>
      </c>
      <c r="G32" s="315" t="str">
        <f>IF(C17-G17&gt;0,C17-G17,"-")</f>
        <v>-</v>
      </c>
      <c r="H32" s="315" t="str">
        <f>IF(D17-H17&gt;0,D17-H17,"-")</f>
        <v>-</v>
      </c>
      <c r="I32" s="316" t="str">
        <f>IF(E17-I17&gt;0,E17-I17,"-")</f>
        <v>-</v>
      </c>
      <c r="J32" s="850"/>
    </row>
    <row r="33" spans="1:10" ht="13.5" thickBot="1">
      <c r="A33" s="114" t="s">
        <v>33</v>
      </c>
      <c r="B33" s="120" t="s">
        <v>491</v>
      </c>
      <c r="C33" s="315">
        <f>IF(C31-G31&lt;0,G31-C31,"-")</f>
        <v>95464519</v>
      </c>
      <c r="D33" s="315">
        <f>IF(D31-H31&lt;0,H31-D31,"-")</f>
        <v>100328731</v>
      </c>
      <c r="E33" s="315">
        <f>IF(E31-I31&lt;0,I31-E31,"-")</f>
        <v>57419958</v>
      </c>
      <c r="F33" s="120" t="s">
        <v>492</v>
      </c>
      <c r="G33" s="315" t="str">
        <f>IF(C31-G31&gt;0,C31-G31,"-")</f>
        <v>-</v>
      </c>
      <c r="H33" s="315" t="str">
        <f>IF(D31-H31&gt;0,D31-H31,"-")</f>
        <v>-</v>
      </c>
      <c r="I33" s="315" t="str">
        <f>IF(E31-I31&gt;0,E31-I31,"-")</f>
        <v>-</v>
      </c>
      <c r="J33" s="850"/>
    </row>
  </sheetData>
  <sheetProtection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Kovácsné Rack Mária</cp:lastModifiedBy>
  <cp:lastPrinted>2022-05-25T12:46:49Z</cp:lastPrinted>
  <dcterms:created xsi:type="dcterms:W3CDTF">1999-10-30T10:30:45Z</dcterms:created>
  <dcterms:modified xsi:type="dcterms:W3CDTF">2022-05-25T12:48:16Z</dcterms:modified>
  <cp:category/>
  <cp:version/>
  <cp:contentType/>
  <cp:contentStatus/>
</cp:coreProperties>
</file>